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1640" windowHeight="4845" activeTab="0"/>
  </bookViews>
  <sheets>
    <sheet name="BIZ - Boxed Solutions" sheetId="1" r:id="rId1"/>
    <sheet name="Baseline_LABELS" sheetId="2" r:id="rId2"/>
    <sheet name="Classes" sheetId="3" r:id="rId3"/>
  </sheets>
  <definedNames/>
  <calcPr fullCalcOnLoad="1"/>
</workbook>
</file>

<file path=xl/sharedStrings.xml><?xml version="1.0" encoding="utf-8"?>
<sst xmlns="http://schemas.openxmlformats.org/spreadsheetml/2006/main" count="251" uniqueCount="209">
  <si>
    <t>BIZ</t>
  </si>
  <si>
    <t>TOTAL</t>
  </si>
  <si>
    <t>Internal bicycles offered</t>
  </si>
  <si>
    <t>Car free areas</t>
  </si>
  <si>
    <t>Parking management</t>
  </si>
  <si>
    <t>Access management</t>
  </si>
  <si>
    <t>Intelligent transport systems</t>
  </si>
  <si>
    <t>Park &amp; ride</t>
  </si>
  <si>
    <t>Route planning</t>
  </si>
  <si>
    <t>Transport planning and land use</t>
  </si>
  <si>
    <t>Parking fees</t>
  </si>
  <si>
    <t>BIZ accessible by car</t>
  </si>
  <si>
    <t>BIZ accessible on foot</t>
  </si>
  <si>
    <t>The BIZ offers standard vanpooling - BIZ van or rental van.</t>
  </si>
  <si>
    <t>An employee or a visitor can reach the BIZ with a car.</t>
  </si>
  <si>
    <t>The BIZ has allocated car free areas inside the BIZ.</t>
  </si>
  <si>
    <t>Individual trip advice</t>
  </si>
  <si>
    <t>The BIZ provides its employees with the service of giving personal trip advice for optimisation of the home-work trip.</t>
  </si>
  <si>
    <t>A</t>
  </si>
  <si>
    <t>B</t>
  </si>
  <si>
    <t>C</t>
  </si>
  <si>
    <t>D</t>
  </si>
  <si>
    <t>MAX</t>
  </si>
  <si>
    <t>k</t>
  </si>
  <si>
    <t>1. BOX 1: Cycling</t>
  </si>
  <si>
    <t>7. BOX 7: Transport for people with reduced mobility</t>
  </si>
  <si>
    <t>8. BOX 8: Raising awareness</t>
  </si>
  <si>
    <t>2. BOX 2: Walking</t>
  </si>
  <si>
    <t>4. BOX 4: Carpooling</t>
  </si>
  <si>
    <t>5. BOX 5: Carsharing</t>
  </si>
  <si>
    <t>Labels' Table</t>
  </si>
  <si>
    <t>Scores</t>
  </si>
  <si>
    <t>Overview of the Boxes</t>
  </si>
  <si>
    <t>DO NOT DELETE! FORMULAS ESSENTIAL TO THE CALCULATION PROCESS</t>
  </si>
  <si>
    <t>Score</t>
  </si>
  <si>
    <t>Total</t>
  </si>
  <si>
    <t>BOX Label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</si>
  <si>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</si>
  <si>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</si>
  <si>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</si>
  <si>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</si>
  <si>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</si>
  <si>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</si>
  <si>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</si>
  <si>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</si>
  <si>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</si>
  <si>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</si>
  <si>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</si>
  <si>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</si>
  <si>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</si>
  <si>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</si>
  <si>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</si>
  <si>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</si>
  <si>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</si>
  <si>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</si>
  <si>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</si>
  <si>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</si>
  <si>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</si>
  <si>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</si>
  <si>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</si>
  <si>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</si>
  <si>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</si>
  <si>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</si>
  <si>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</si>
  <si>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</si>
  <si>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</si>
  <si>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</si>
  <si>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</si>
  <si>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</si>
  <si>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</si>
  <si>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</si>
  <si>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</si>
  <si>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</si>
  <si>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</si>
  <si>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</si>
  <si>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</si>
  <si>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</si>
  <si>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</si>
  <si>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7.1.</t>
  </si>
  <si>
    <t>7.2.</t>
  </si>
  <si>
    <t>8.1.</t>
  </si>
  <si>
    <t>8.2.</t>
  </si>
  <si>
    <t>8.3.</t>
  </si>
  <si>
    <t>8.4.</t>
  </si>
  <si>
    <t>8.5.</t>
  </si>
  <si>
    <t>8.6.</t>
  </si>
  <si>
    <t>8.7.</t>
  </si>
  <si>
    <t>8.8.</t>
  </si>
  <si>
    <t>6. BOX 6: Car management</t>
  </si>
  <si>
    <t>E</t>
  </si>
  <si>
    <t>G</t>
  </si>
  <si>
    <t>F</t>
  </si>
  <si>
    <t>3. BOX 3: Collective transport</t>
  </si>
  <si>
    <t>step</t>
  </si>
  <si>
    <t>BOX</t>
  </si>
  <si>
    <t>A+++</t>
  </si>
  <si>
    <t>A++</t>
  </si>
  <si>
    <t>A+</t>
  </si>
  <si>
    <t>Description</t>
  </si>
  <si>
    <t>from</t>
  </si>
  <si>
    <t>to</t>
  </si>
  <si>
    <t>The lowest three classes must have small intervals so that beginner BIZes can go through the intervals more easily. The interval measure is 20 points for each.</t>
  </si>
  <si>
    <t>The next level belongs to BIZes with some measures implemented. The interval measure is 40.</t>
  </si>
  <si>
    <t>The BIZes who are dedicated and have strategy for implementing measures. The interval is 60.</t>
  </si>
  <si>
    <t>The excellent level needs a big interval to indicate many measures implemented. The inteval is 100. From G to A the scale is rather "realistic".</t>
  </si>
  <si>
    <t>BIZ CLASS</t>
  </si>
  <si>
    <t>BIZ accessible by public transport</t>
  </si>
  <si>
    <t>Public transport facilities</t>
  </si>
  <si>
    <t>Carpooling incentives</t>
  </si>
  <si>
    <t>Carsharing service</t>
  </si>
  <si>
    <t>Carsharing incentives</t>
  </si>
  <si>
    <t>BIZ accessibility infrastructure</t>
  </si>
  <si>
    <t>The BIZ is well connected by public transport, bike etc. to the nearest carsharing location (when the carsharing service is not located inside the BIZ).</t>
  </si>
  <si>
    <t>Financial incentives</t>
  </si>
  <si>
    <t>6.16.</t>
  </si>
  <si>
    <t>The intervals are distributed evently - the interval is 125. They are marked with pluses to recognise Excellence. They have rather "symbolical" meaning.</t>
  </si>
  <si>
    <t>Box 1: Cycling</t>
  </si>
  <si>
    <t>Action Title</t>
  </si>
  <si>
    <t xml:space="preserve">The BIZ could be reached by an employee or a visitor with a bicycle - less than 10 km from home. </t>
  </si>
  <si>
    <t>The BIZ has a clear strategy and facilities for preventing bike theft.</t>
  </si>
  <si>
    <t>The BIZ companies provide changing rooms, showers and lockers for employees who use bicycles for home-work trips and for work-related trips</t>
  </si>
  <si>
    <t>The BIZ provides bikes for the employees/ visitors to use within the BIZ area.</t>
  </si>
  <si>
    <t>The BIZ provides a pool of bikes  to the employee for work and non-work trips.</t>
  </si>
  <si>
    <t>The BIZ promotes cycling for work-related trips.</t>
  </si>
  <si>
    <t>The BIZ offers a Bike &amp; Ride service and the corresponding facilities.</t>
  </si>
  <si>
    <t>The BIZ has an internal bike network with safe bike lanes, bike ramps, bike racks, etc. and offers services for cyclists such as bicycle maintenance.</t>
  </si>
  <si>
    <t>The BIZ is aware of the current cycling infrastructures in the surrounding area and collaborates with the local authorities in order to improve them and make them safer.</t>
  </si>
  <si>
    <t>Box 2: Walking</t>
  </si>
  <si>
    <t>An employee or a visitor can reach the BIZ on foot - less than 3 km from home.</t>
  </si>
  <si>
    <t>The BIZ provides on-site lockers and showers for employees who walk to work.</t>
  </si>
  <si>
    <t>The BIZ provides safe infrastructures for pedestrians,  road signs, pedestrian routes, etc.</t>
  </si>
  <si>
    <t>Box 3: Public transport</t>
  </si>
  <si>
    <t>The BIZ is well connected  to the nearby residential areas by  public transport.</t>
  </si>
  <si>
    <t>The BIZ provides up-to-date information on the existing public transport service to its employees, i.e. timetable, route maps, etc.</t>
  </si>
  <si>
    <t>The BIZ co-finances public transport tickets (bus, train, tram, metro, etc) for their employees.</t>
  </si>
  <si>
    <t>Presence of bus stops close or even inside the BIZ, with shelters, sitting structures, selling of bus tickets etc.</t>
  </si>
  <si>
    <t>The BIZ companies have a clear idea of the transport needs of their employees and promote public transport policies that help meet these needs.</t>
  </si>
  <si>
    <t>The BIZ area is safe for pedestrians as employees using public transport need to walk within the BIZ in order to reach their workplace.</t>
  </si>
  <si>
    <t>The BIZ facilitates a shuttle bus service for the employees.</t>
  </si>
  <si>
    <t>Box 4: Carpooling</t>
  </si>
  <si>
    <t>The BIZ provides  employees with a  service for carpooling in the forms of an online platform, a  notice board  or an employee  matching service.</t>
  </si>
  <si>
    <t>The BIZ guarantees parking space for car-poolers.</t>
  </si>
  <si>
    <t>The BIZ provides incentives for the employees who carpool - financial and non-financial.</t>
  </si>
  <si>
    <t>Box 5: Carsharing and Vansharing</t>
  </si>
  <si>
    <t>The BIZ offers a carsharing service to the employees.</t>
  </si>
  <si>
    <t>The BIZ provides incentives for employees who use carsharing - financial and non-financial.</t>
  </si>
  <si>
    <t>Box 6: Car Management</t>
  </si>
  <si>
    <t>The BIZ establishes a scheme for decreasing the number of business trips carried out (i.e. teleconferences, software, paper-based scheme, orally arranged scheme).</t>
  </si>
  <si>
    <t>The BIZ promotes a more efficient use of cars for work-related trips.</t>
  </si>
  <si>
    <t>The BIZ has an internal pool of vehicles made available to the employees for non-work related trips (individual or collective).</t>
  </si>
  <si>
    <t>The BIZ offers park &amp; ride service to employees.</t>
  </si>
  <si>
    <t>The BIZ applies a parking fee scheme within its premises.</t>
  </si>
  <si>
    <t>The BIZ pays attention to the area made available for parking purposes within its premises and implements a parking management scheme.</t>
  </si>
  <si>
    <t>The BIZ prioritises certain types of means of transport, e.g. carpoolers.</t>
  </si>
  <si>
    <t>The BIZ applies access restriction measures based on the emissions of the incoming vehicles.</t>
  </si>
  <si>
    <t>The BIZ owns energy efficient cars, or cars which run on alternative fuels, or electricity.</t>
  </si>
  <si>
    <t>The BIZ has a policy for the use of alternative fuels by employees of the BIZ; or offers incentive to employees who use vehicles run on alternative fuels.</t>
  </si>
  <si>
    <t>The BIZ offers eco-driving style training or gives incentives to drivers who apply it.</t>
  </si>
  <si>
    <t>The BIZ uses intelligent transport systems for its fleet of vehicles; or has integrated it with the private vehicles of its employees.</t>
  </si>
  <si>
    <t>The BIZ has established a route planning service or is in possession of such software.</t>
  </si>
  <si>
    <t>The BIZ offers to the employees a service/software that provides information on real time traffic and the possible solution to traffic jams.</t>
  </si>
  <si>
    <t>Box 7: Transport for people with reduced mobility</t>
  </si>
  <si>
    <t>The BIZ has erected signs indicating the accessible areas.</t>
  </si>
  <si>
    <t>The BIZ has infrastructures for people with reduced mobility ensuring easy access.</t>
  </si>
  <si>
    <t>Box 8: Further Mobility Measures</t>
  </si>
  <si>
    <t>The BIZ offers financial incentives to employees who are using sustainable modes of transport.</t>
  </si>
  <si>
    <t>The BIZ offers a "guaranteed ride back home" service for employees using sustainable modes of transport in the event of the mode of transport not being available.</t>
  </si>
  <si>
    <t>Employees have flexible working hours and/or the possibility to  work from home .</t>
  </si>
  <si>
    <t>The BIZ has established and runs a Mobility Centre/Office for its employees.</t>
  </si>
  <si>
    <t>The BIZ has a vision for its  continual development and potential expansion  and integrates sustainable  transport networks  within its mobility policy.</t>
  </si>
  <si>
    <t>The BIZ offers the facilities for an e-shopping service.</t>
  </si>
  <si>
    <t>Employees have access to a wide range of services  on site, i.e. shops, gyms, bank, post office, childcare, etc.</t>
  </si>
  <si>
    <t>Box 5 Carsharing and Vansharing</t>
  </si>
  <si>
    <t>Box 7</t>
  </si>
  <si>
    <t>The BIZ Is accessible by bike</t>
  </si>
  <si>
    <t>Bike theft prevention</t>
  </si>
  <si>
    <t>Arrival facilities</t>
  </si>
  <si>
    <t>Pool Bikes</t>
  </si>
  <si>
    <t>Employees cycling for business trips</t>
  </si>
  <si>
    <t>Bike &amp; ride</t>
  </si>
  <si>
    <t>Safe cycling infrastructures</t>
  </si>
  <si>
    <t>Arrival facilities for employees who walk to work</t>
  </si>
  <si>
    <t>Safe infrastructures for pedestrians</t>
  </si>
  <si>
    <t>Public transport information</t>
  </si>
  <si>
    <t>Public Transport ticket Co-financing (Incl. Trains)</t>
  </si>
  <si>
    <t>Lobby for better public transport</t>
  </si>
  <si>
    <t>Safe BIZ on-site infrastructure</t>
  </si>
  <si>
    <t>BIZ Shuttle Bus</t>
  </si>
  <si>
    <t>Vanpooling</t>
  </si>
  <si>
    <t>Carpooling matching service</t>
  </si>
  <si>
    <t>Parking for car-poolers</t>
  </si>
  <si>
    <t>BIZ well connected to carsharing location</t>
  </si>
  <si>
    <t>Optimisation of business trips</t>
  </si>
  <si>
    <t>More sensible and efficient car use for work-related trips</t>
  </si>
  <si>
    <t>More sensible car use for non-work-related trips</t>
  </si>
  <si>
    <t>Vehicle restrictions</t>
  </si>
  <si>
    <t>BIZ promotes clean and energy efficient vehicles</t>
  </si>
  <si>
    <t>Alternative fuels</t>
  </si>
  <si>
    <t>Eco-driving course, energy efficient car use</t>
  </si>
  <si>
    <t>Traffic/ mobility information</t>
  </si>
  <si>
    <r>
      <t>BIZ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accessibility signs</t>
    </r>
  </si>
  <si>
    <t>Guaranteed ride back home (Taxi Service)</t>
  </si>
  <si>
    <t>Teleworking &amp; flexible working hours</t>
  </si>
  <si>
    <t>Mobility office/ Mobiltiy centre</t>
  </si>
  <si>
    <t>E-shopping service</t>
  </si>
  <si>
    <t>Provision of general services on site</t>
  </si>
  <si>
    <t>BIZ Internal cycling facilities &amp; services</t>
  </si>
  <si>
    <t>TOTAL:</t>
  </si>
  <si>
    <t>BOX CLASS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</si>
</sst>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0.00000"/>
    <numFmt numFmtId="193" formatCode="0.000000"/>
    <numFmt numFmtId="194" formatCode="0.0000"/>
    <numFmt numFmtId="195" formatCode="0.0000000"/>
  </numFmts>
  <fonts count="7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color indexed="8"/>
      <name val="Calibri"/>
      <family val="2"/>
    </font>
    <font>
      <sz val="9"/>
      <color indexed="10"/>
      <name val="Arial"/>
      <family val="2"/>
    </font>
    <font>
      <b/>
      <sz val="11"/>
      <color indexed="13"/>
      <name val="Calibri"/>
      <family val="2"/>
    </font>
    <font>
      <b/>
      <sz val="10"/>
      <name val="Calibri"/>
      <family val="2"/>
    </font>
    <font>
      <b/>
      <sz val="18"/>
      <color indexed="13"/>
      <name val="Arial"/>
      <family val="2"/>
    </font>
    <font>
      <b/>
      <sz val="18"/>
      <color indexed="1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i/>
      <sz val="9"/>
      <color rgb="FF000000"/>
      <name val="Calibri"/>
      <family val="2"/>
    </font>
    <font>
      <sz val="9"/>
      <color rgb="FFFF0000"/>
      <name val="Arial"/>
      <family val="2"/>
    </font>
    <font>
      <b/>
      <sz val="11"/>
      <color rgb="FFFFFF00"/>
      <name val="Calibri"/>
      <family val="2"/>
    </font>
    <font>
      <b/>
      <sz val="10"/>
      <color rgb="FFFFFF00"/>
      <name val="Arial"/>
      <family val="2"/>
    </font>
    <font>
      <b/>
      <sz val="18"/>
      <color rgb="FFFFFF00"/>
      <name val="Arial"/>
      <family val="2"/>
    </font>
    <font>
      <b/>
      <sz val="18"/>
      <color rgb="FFFFFF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90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8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38" borderId="0" xfId="0" applyFont="1" applyFill="1" applyAlignment="1">
      <alignment horizontal="right" vertical="center"/>
    </xf>
    <xf numFmtId="2" fontId="8" fillId="38" borderId="0" xfId="0" applyNumberFormat="1" applyFont="1" applyFill="1" applyAlignment="1">
      <alignment horizontal="right" vertical="center"/>
    </xf>
    <xf numFmtId="0" fontId="8" fillId="38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" fontId="8" fillId="38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9" borderId="1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39" borderId="21" xfId="0" applyFill="1" applyBorder="1" applyAlignment="1">
      <alignment vertical="center"/>
    </xf>
    <xf numFmtId="0" fontId="0" fillId="40" borderId="22" xfId="0" applyFont="1" applyFill="1" applyBorder="1" applyAlignment="1">
      <alignment vertical="center"/>
    </xf>
    <xf numFmtId="0" fontId="0" fillId="40" borderId="23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21" xfId="0" applyFont="1" applyFill="1" applyBorder="1" applyAlignment="1">
      <alignment vertical="center"/>
    </xf>
    <xf numFmtId="0" fontId="0" fillId="41" borderId="19" xfId="0" applyFont="1" applyFill="1" applyBorder="1" applyAlignment="1">
      <alignment vertical="center"/>
    </xf>
    <xf numFmtId="0" fontId="0" fillId="41" borderId="20" xfId="0" applyFill="1" applyBorder="1" applyAlignment="1">
      <alignment vertical="center"/>
    </xf>
    <xf numFmtId="0" fontId="0" fillId="41" borderId="24" xfId="0" applyFont="1" applyFill="1" applyBorder="1" applyAlignment="1">
      <alignment vertical="center"/>
    </xf>
    <xf numFmtId="0" fontId="0" fillId="41" borderId="25" xfId="0" applyFill="1" applyBorder="1" applyAlignment="1">
      <alignment vertical="center"/>
    </xf>
    <xf numFmtId="0" fontId="0" fillId="42" borderId="19" xfId="0" applyFont="1" applyFill="1" applyBorder="1" applyAlignment="1">
      <alignment vertical="center"/>
    </xf>
    <xf numFmtId="0" fontId="0" fillId="42" borderId="20" xfId="0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21" xfId="0" applyFill="1" applyBorder="1" applyAlignment="1">
      <alignment vertical="center"/>
    </xf>
    <xf numFmtId="0" fontId="0" fillId="42" borderId="24" xfId="0" applyFont="1" applyFill="1" applyBorder="1" applyAlignment="1">
      <alignment vertical="center"/>
    </xf>
    <xf numFmtId="0" fontId="0" fillId="42" borderId="25" xfId="0" applyFill="1" applyBorder="1" applyAlignment="1">
      <alignment vertical="center"/>
    </xf>
    <xf numFmtId="2" fontId="6" fillId="42" borderId="10" xfId="0" applyNumberFormat="1" applyFont="1" applyFill="1" applyBorder="1" applyAlignment="1">
      <alignment horizontal="center" vertical="center"/>
    </xf>
    <xf numFmtId="1" fontId="6" fillId="42" borderId="13" xfId="0" applyNumberFormat="1" applyFont="1" applyFill="1" applyBorder="1" applyAlignment="1">
      <alignment vertical="center"/>
    </xf>
    <xf numFmtId="2" fontId="6" fillId="39" borderId="10" xfId="0" applyNumberFormat="1" applyFont="1" applyFill="1" applyBorder="1" applyAlignment="1">
      <alignment horizontal="center" vertical="center"/>
    </xf>
    <xf numFmtId="1" fontId="6" fillId="39" borderId="13" xfId="0" applyNumberFormat="1" applyFont="1" applyFill="1" applyBorder="1" applyAlignment="1">
      <alignment vertical="center"/>
    </xf>
    <xf numFmtId="2" fontId="6" fillId="40" borderId="10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vertical="center"/>
    </xf>
    <xf numFmtId="2" fontId="6" fillId="38" borderId="10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>
      <alignment vertical="center"/>
    </xf>
    <xf numFmtId="2" fontId="6" fillId="41" borderId="10" xfId="0" applyNumberFormat="1" applyFont="1" applyFill="1" applyBorder="1" applyAlignment="1">
      <alignment horizontal="center" vertical="center"/>
    </xf>
    <xf numFmtId="1" fontId="6" fillId="41" borderId="1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11" fillId="43" borderId="14" xfId="0" applyFont="1" applyFill="1" applyBorder="1" applyAlignment="1">
      <alignment horizontal="center" vertical="center"/>
    </xf>
    <xf numFmtId="0" fontId="11" fillId="43" borderId="14" xfId="0" applyFont="1" applyFill="1" applyBorder="1" applyAlignment="1">
      <alignment vertical="center" wrapText="1"/>
    </xf>
    <xf numFmtId="0" fontId="14" fillId="43" borderId="14" xfId="0" applyFont="1" applyFill="1" applyBorder="1" applyAlignment="1">
      <alignment vertical="center" wrapText="1"/>
    </xf>
    <xf numFmtId="0" fontId="3" fillId="43" borderId="26" xfId="0" applyFont="1" applyFill="1" applyBorder="1" applyAlignment="1">
      <alignment horizontal="center" vertical="center"/>
    </xf>
    <xf numFmtId="190" fontId="3" fillId="43" borderId="27" xfId="0" applyNumberFormat="1" applyFont="1" applyFill="1" applyBorder="1" applyAlignment="1">
      <alignment horizontal="center" vertical="center"/>
    </xf>
    <xf numFmtId="0" fontId="11" fillId="43" borderId="12" xfId="0" applyFont="1" applyFill="1" applyBorder="1" applyAlignment="1">
      <alignment vertical="center" wrapText="1"/>
    </xf>
    <xf numFmtId="0" fontId="14" fillId="43" borderId="25" xfId="0" applyFont="1" applyFill="1" applyBorder="1" applyAlignment="1">
      <alignment vertical="center" wrapText="1"/>
    </xf>
    <xf numFmtId="0" fontId="3" fillId="43" borderId="28" xfId="0" applyFont="1" applyFill="1" applyBorder="1" applyAlignment="1">
      <alignment horizontal="center" vertical="center"/>
    </xf>
    <xf numFmtId="190" fontId="3" fillId="43" borderId="29" xfId="0" applyNumberFormat="1" applyFont="1" applyFill="1" applyBorder="1" applyAlignment="1">
      <alignment horizontal="center" vertical="center"/>
    </xf>
    <xf numFmtId="0" fontId="11" fillId="43" borderId="21" xfId="0" applyFont="1" applyFill="1" applyBorder="1" applyAlignment="1">
      <alignment horizontal="center" vertical="center"/>
    </xf>
    <xf numFmtId="0" fontId="67" fillId="43" borderId="25" xfId="0" applyFont="1" applyFill="1" applyBorder="1" applyAlignment="1">
      <alignment vertical="center" wrapText="1"/>
    </xf>
    <xf numFmtId="0" fontId="3" fillId="43" borderId="30" xfId="0" applyFont="1" applyFill="1" applyBorder="1" applyAlignment="1">
      <alignment horizontal="center" vertical="center"/>
    </xf>
    <xf numFmtId="190" fontId="3" fillId="43" borderId="31" xfId="0" applyNumberFormat="1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/>
    </xf>
    <xf numFmtId="0" fontId="11" fillId="44" borderId="12" xfId="0" applyFont="1" applyFill="1" applyBorder="1" applyAlignment="1">
      <alignment vertical="center" wrapText="1"/>
    </xf>
    <xf numFmtId="0" fontId="14" fillId="44" borderId="25" xfId="0" applyFont="1" applyFill="1" applyBorder="1" applyAlignment="1">
      <alignment vertical="center" wrapText="1"/>
    </xf>
    <xf numFmtId="0" fontId="3" fillId="44" borderId="26" xfId="0" applyFont="1" applyFill="1" applyBorder="1" applyAlignment="1">
      <alignment horizontal="center" vertical="center"/>
    </xf>
    <xf numFmtId="190" fontId="3" fillId="44" borderId="27" xfId="0" applyNumberFormat="1" applyFont="1" applyFill="1" applyBorder="1" applyAlignment="1">
      <alignment horizontal="center" vertical="center"/>
    </xf>
    <xf numFmtId="0" fontId="3" fillId="44" borderId="28" xfId="0" applyFont="1" applyFill="1" applyBorder="1" applyAlignment="1">
      <alignment horizontal="center" vertical="center"/>
    </xf>
    <xf numFmtId="190" fontId="3" fillId="44" borderId="29" xfId="0" applyNumberFormat="1" applyFont="1" applyFill="1" applyBorder="1" applyAlignment="1">
      <alignment horizontal="center" vertical="center"/>
    </xf>
    <xf numFmtId="0" fontId="3" fillId="44" borderId="30" xfId="0" applyFont="1" applyFill="1" applyBorder="1" applyAlignment="1">
      <alignment horizontal="center" vertical="center"/>
    </xf>
    <xf numFmtId="190" fontId="3" fillId="44" borderId="31" xfId="0" applyNumberFormat="1" applyFont="1" applyFill="1" applyBorder="1" applyAlignment="1">
      <alignment horizontal="center" vertical="center"/>
    </xf>
    <xf numFmtId="0" fontId="11" fillId="45" borderId="14" xfId="0" applyFont="1" applyFill="1" applyBorder="1" applyAlignment="1">
      <alignment horizontal="center" vertical="center"/>
    </xf>
    <xf numFmtId="0" fontId="11" fillId="45" borderId="12" xfId="0" applyFont="1" applyFill="1" applyBorder="1" applyAlignment="1">
      <alignment vertical="center" wrapText="1"/>
    </xf>
    <xf numFmtId="0" fontId="14" fillId="45" borderId="25" xfId="0" applyFont="1" applyFill="1" applyBorder="1" applyAlignment="1">
      <alignment vertical="center" wrapText="1"/>
    </xf>
    <xf numFmtId="0" fontId="3" fillId="45" borderId="26" xfId="0" applyFont="1" applyFill="1" applyBorder="1" applyAlignment="1">
      <alignment horizontal="center" vertical="center"/>
    </xf>
    <xf numFmtId="190" fontId="3" fillId="45" borderId="27" xfId="0" applyNumberFormat="1" applyFont="1" applyFill="1" applyBorder="1" applyAlignment="1">
      <alignment horizontal="center" vertical="center"/>
    </xf>
    <xf numFmtId="0" fontId="3" fillId="45" borderId="28" xfId="0" applyFont="1" applyFill="1" applyBorder="1" applyAlignment="1">
      <alignment horizontal="center" vertical="center"/>
    </xf>
    <xf numFmtId="190" fontId="3" fillId="45" borderId="29" xfId="0" applyNumberFormat="1" applyFont="1" applyFill="1" applyBorder="1" applyAlignment="1">
      <alignment horizontal="center" vertical="center"/>
    </xf>
    <xf numFmtId="0" fontId="11" fillId="45" borderId="0" xfId="0" applyFont="1" applyFill="1" applyAlignment="1">
      <alignment horizontal="center" vertical="center"/>
    </xf>
    <xf numFmtId="0" fontId="68" fillId="45" borderId="28" xfId="0" applyFont="1" applyFill="1" applyBorder="1" applyAlignment="1">
      <alignment horizontal="center" vertical="center"/>
    </xf>
    <xf numFmtId="0" fontId="3" fillId="45" borderId="30" xfId="0" applyFont="1" applyFill="1" applyBorder="1" applyAlignment="1">
      <alignment horizontal="center" vertical="center"/>
    </xf>
    <xf numFmtId="190" fontId="3" fillId="45" borderId="31" xfId="0" applyNumberFormat="1" applyFont="1" applyFill="1" applyBorder="1" applyAlignment="1">
      <alignment horizontal="center" vertical="center"/>
    </xf>
    <xf numFmtId="0" fontId="11" fillId="46" borderId="14" xfId="0" applyFont="1" applyFill="1" applyBorder="1" applyAlignment="1">
      <alignment horizontal="center" vertical="center"/>
    </xf>
    <xf numFmtId="0" fontId="11" fillId="46" borderId="12" xfId="0" applyFont="1" applyFill="1" applyBorder="1" applyAlignment="1">
      <alignment vertical="center" wrapText="1"/>
    </xf>
    <xf numFmtId="0" fontId="14" fillId="46" borderId="25" xfId="0" applyFont="1" applyFill="1" applyBorder="1" applyAlignment="1">
      <alignment vertical="center" wrapText="1"/>
    </xf>
    <xf numFmtId="0" fontId="3" fillId="46" borderId="26" xfId="0" applyFont="1" applyFill="1" applyBorder="1" applyAlignment="1">
      <alignment horizontal="center" vertical="center"/>
    </xf>
    <xf numFmtId="190" fontId="3" fillId="46" borderId="27" xfId="0" applyNumberFormat="1" applyFont="1" applyFill="1" applyBorder="1" applyAlignment="1">
      <alignment horizontal="center" vertical="center"/>
    </xf>
    <xf numFmtId="0" fontId="3" fillId="46" borderId="28" xfId="0" applyFont="1" applyFill="1" applyBorder="1" applyAlignment="1">
      <alignment horizontal="center" vertical="center"/>
    </xf>
    <xf numFmtId="190" fontId="3" fillId="46" borderId="29" xfId="0" applyNumberFormat="1" applyFont="1" applyFill="1" applyBorder="1" applyAlignment="1">
      <alignment horizontal="center" vertical="center"/>
    </xf>
    <xf numFmtId="0" fontId="3" fillId="46" borderId="30" xfId="0" applyFont="1" applyFill="1" applyBorder="1" applyAlignment="1">
      <alignment horizontal="center" vertical="center"/>
    </xf>
    <xf numFmtId="190" fontId="3" fillId="46" borderId="31" xfId="0" applyNumberFormat="1" applyFont="1" applyFill="1" applyBorder="1" applyAlignment="1">
      <alignment horizontal="center" vertical="center"/>
    </xf>
    <xf numFmtId="190" fontId="2" fillId="46" borderId="14" xfId="0" applyNumberFormat="1" applyFont="1" applyFill="1" applyBorder="1" applyAlignment="1">
      <alignment horizontal="center" vertical="center"/>
    </xf>
    <xf numFmtId="190" fontId="2" fillId="45" borderId="14" xfId="0" applyNumberFormat="1" applyFont="1" applyFill="1" applyBorder="1" applyAlignment="1">
      <alignment horizontal="center" vertical="center"/>
    </xf>
    <xf numFmtId="190" fontId="2" fillId="44" borderId="14" xfId="0" applyNumberFormat="1" applyFont="1" applyFill="1" applyBorder="1" applyAlignment="1">
      <alignment horizontal="center" vertical="center"/>
    </xf>
    <xf numFmtId="0" fontId="11" fillId="47" borderId="14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vertical="center" wrapText="1"/>
    </xf>
    <xf numFmtId="0" fontId="14" fillId="47" borderId="25" xfId="0" applyFont="1" applyFill="1" applyBorder="1" applyAlignment="1">
      <alignment vertical="center" wrapText="1"/>
    </xf>
    <xf numFmtId="0" fontId="3" fillId="47" borderId="26" xfId="0" applyFont="1" applyFill="1" applyBorder="1" applyAlignment="1">
      <alignment horizontal="center" vertical="center"/>
    </xf>
    <xf numFmtId="190" fontId="3" fillId="47" borderId="27" xfId="0" applyNumberFormat="1" applyFont="1" applyFill="1" applyBorder="1" applyAlignment="1">
      <alignment horizontal="center" vertical="center"/>
    </xf>
    <xf numFmtId="0" fontId="3" fillId="47" borderId="28" xfId="0" applyFont="1" applyFill="1" applyBorder="1" applyAlignment="1">
      <alignment horizontal="center" vertical="center"/>
    </xf>
    <xf numFmtId="190" fontId="3" fillId="47" borderId="29" xfId="0" applyNumberFormat="1" applyFont="1" applyFill="1" applyBorder="1" applyAlignment="1">
      <alignment horizontal="center" vertical="center"/>
    </xf>
    <xf numFmtId="0" fontId="3" fillId="47" borderId="30" xfId="0" applyFont="1" applyFill="1" applyBorder="1" applyAlignment="1">
      <alignment horizontal="center" vertical="center"/>
    </xf>
    <xf numFmtId="190" fontId="3" fillId="47" borderId="31" xfId="0" applyNumberFormat="1" applyFont="1" applyFill="1" applyBorder="1" applyAlignment="1">
      <alignment horizontal="center" vertical="center"/>
    </xf>
    <xf numFmtId="190" fontId="2" fillId="47" borderId="14" xfId="0" applyNumberFormat="1" applyFont="1" applyFill="1" applyBorder="1" applyAlignment="1">
      <alignment horizontal="center" vertical="center"/>
    </xf>
    <xf numFmtId="0" fontId="11" fillId="48" borderId="14" xfId="0" applyFont="1" applyFill="1" applyBorder="1" applyAlignment="1">
      <alignment horizontal="center" vertical="center"/>
    </xf>
    <xf numFmtId="0" fontId="11" fillId="48" borderId="12" xfId="0" applyFont="1" applyFill="1" applyBorder="1" applyAlignment="1">
      <alignment vertical="center" wrapText="1"/>
    </xf>
    <xf numFmtId="0" fontId="14" fillId="48" borderId="25" xfId="0" applyFont="1" applyFill="1" applyBorder="1" applyAlignment="1">
      <alignment vertical="center" wrapText="1"/>
    </xf>
    <xf numFmtId="0" fontId="3" fillId="48" borderId="26" xfId="0" applyFont="1" applyFill="1" applyBorder="1" applyAlignment="1">
      <alignment horizontal="center" vertical="center"/>
    </xf>
    <xf numFmtId="190" fontId="3" fillId="48" borderId="27" xfId="0" applyNumberFormat="1" applyFont="1" applyFill="1" applyBorder="1" applyAlignment="1">
      <alignment horizontal="center" vertical="center"/>
    </xf>
    <xf numFmtId="0" fontId="3" fillId="48" borderId="28" xfId="0" applyFont="1" applyFill="1" applyBorder="1" applyAlignment="1">
      <alignment horizontal="center" vertical="center"/>
    </xf>
    <xf numFmtId="190" fontId="3" fillId="48" borderId="29" xfId="0" applyNumberFormat="1" applyFont="1" applyFill="1" applyBorder="1" applyAlignment="1">
      <alignment horizontal="center" vertical="center"/>
    </xf>
    <xf numFmtId="0" fontId="11" fillId="48" borderId="0" xfId="0" applyFont="1" applyFill="1" applyAlignment="1">
      <alignment horizontal="center" vertical="center"/>
    </xf>
    <xf numFmtId="0" fontId="3" fillId="48" borderId="30" xfId="0" applyFont="1" applyFill="1" applyBorder="1" applyAlignment="1">
      <alignment horizontal="center" vertical="center"/>
    </xf>
    <xf numFmtId="190" fontId="3" fillId="48" borderId="31" xfId="0" applyNumberFormat="1" applyFont="1" applyFill="1" applyBorder="1" applyAlignment="1">
      <alignment horizontal="center" vertical="center"/>
    </xf>
    <xf numFmtId="190" fontId="2" fillId="48" borderId="14" xfId="0" applyNumberFormat="1" applyFont="1" applyFill="1" applyBorder="1" applyAlignment="1">
      <alignment horizontal="center" vertical="center"/>
    </xf>
    <xf numFmtId="0" fontId="11" fillId="49" borderId="14" xfId="0" applyFont="1" applyFill="1" applyBorder="1" applyAlignment="1">
      <alignment horizontal="center" vertical="center"/>
    </xf>
    <xf numFmtId="0" fontId="11" fillId="49" borderId="12" xfId="0" applyFont="1" applyFill="1" applyBorder="1" applyAlignment="1">
      <alignment vertical="center" wrapText="1"/>
    </xf>
    <xf numFmtId="0" fontId="14" fillId="49" borderId="25" xfId="0" applyFont="1" applyFill="1" applyBorder="1" applyAlignment="1">
      <alignment vertical="center" wrapText="1"/>
    </xf>
    <xf numFmtId="0" fontId="3" fillId="49" borderId="26" xfId="0" applyFont="1" applyFill="1" applyBorder="1" applyAlignment="1">
      <alignment horizontal="center" vertical="center"/>
    </xf>
    <xf numFmtId="190" fontId="3" fillId="49" borderId="27" xfId="0" applyNumberFormat="1" applyFont="1" applyFill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190" fontId="3" fillId="49" borderId="31" xfId="0" applyNumberFormat="1" applyFont="1" applyFill="1" applyBorder="1" applyAlignment="1">
      <alignment horizontal="center" vertical="center"/>
    </xf>
    <xf numFmtId="190" fontId="2" fillId="49" borderId="14" xfId="0" applyNumberFormat="1" applyFont="1" applyFill="1" applyBorder="1" applyAlignment="1">
      <alignment horizontal="center" vertical="center"/>
    </xf>
    <xf numFmtId="0" fontId="11" fillId="50" borderId="14" xfId="0" applyFont="1" applyFill="1" applyBorder="1" applyAlignment="1">
      <alignment horizontal="center" vertical="center"/>
    </xf>
    <xf numFmtId="0" fontId="11" fillId="50" borderId="12" xfId="0" applyFont="1" applyFill="1" applyBorder="1" applyAlignment="1">
      <alignment vertical="center" wrapText="1"/>
    </xf>
    <xf numFmtId="0" fontId="67" fillId="50" borderId="25" xfId="0" applyFont="1" applyFill="1" applyBorder="1" applyAlignment="1">
      <alignment vertical="center" wrapText="1"/>
    </xf>
    <xf numFmtId="0" fontId="3" fillId="50" borderId="15" xfId="0" applyFont="1" applyFill="1" applyBorder="1" applyAlignment="1">
      <alignment horizontal="center" vertical="center"/>
    </xf>
    <xf numFmtId="190" fontId="3" fillId="50" borderId="27" xfId="0" applyNumberFormat="1" applyFont="1" applyFill="1" applyBorder="1" applyAlignment="1">
      <alignment horizontal="center" vertical="center"/>
    </xf>
    <xf numFmtId="0" fontId="14" fillId="50" borderId="25" xfId="0" applyFont="1" applyFill="1" applyBorder="1" applyAlignment="1">
      <alignment vertical="center" wrapText="1"/>
    </xf>
    <xf numFmtId="0" fontId="3" fillId="50" borderId="32" xfId="0" applyFont="1" applyFill="1" applyBorder="1" applyAlignment="1">
      <alignment horizontal="center" vertical="center"/>
    </xf>
    <xf numFmtId="190" fontId="3" fillId="50" borderId="29" xfId="0" applyNumberFormat="1" applyFont="1" applyFill="1" applyBorder="1" applyAlignment="1">
      <alignment horizontal="center" vertical="center"/>
    </xf>
    <xf numFmtId="0" fontId="3" fillId="50" borderId="33" xfId="0" applyFont="1" applyFill="1" applyBorder="1" applyAlignment="1">
      <alignment horizontal="center" vertical="center"/>
    </xf>
    <xf numFmtId="190" fontId="3" fillId="50" borderId="31" xfId="0" applyNumberFormat="1" applyFont="1" applyFill="1" applyBorder="1" applyAlignment="1">
      <alignment horizontal="center" vertical="center"/>
    </xf>
    <xf numFmtId="190" fontId="2" fillId="50" borderId="14" xfId="0" applyNumberFormat="1" applyFont="1" applyFill="1" applyBorder="1" applyAlignment="1">
      <alignment horizontal="center" vertical="center"/>
    </xf>
    <xf numFmtId="190" fontId="2" fillId="43" borderId="14" xfId="0" applyNumberFormat="1" applyFont="1" applyFill="1" applyBorder="1" applyAlignment="1">
      <alignment horizontal="center" vertical="center"/>
    </xf>
    <xf numFmtId="0" fontId="69" fillId="50" borderId="25" xfId="0" applyFont="1" applyFill="1" applyBorder="1" applyAlignment="1">
      <alignment vertical="center" wrapText="1"/>
    </xf>
    <xf numFmtId="190" fontId="37" fillId="43" borderId="34" xfId="0" applyNumberFormat="1" applyFont="1" applyFill="1" applyBorder="1" applyAlignment="1">
      <alignment horizontal="center" vertical="center"/>
    </xf>
    <xf numFmtId="190" fontId="37" fillId="43" borderId="11" xfId="0" applyNumberFormat="1" applyFont="1" applyFill="1" applyBorder="1" applyAlignment="1">
      <alignment horizontal="center" vertical="center"/>
    </xf>
    <xf numFmtId="190" fontId="37" fillId="43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190" fontId="37" fillId="44" borderId="10" xfId="0" applyNumberFormat="1" applyFont="1" applyFill="1" applyBorder="1" applyAlignment="1">
      <alignment horizontal="center" vertical="center"/>
    </xf>
    <xf numFmtId="190" fontId="37" fillId="44" borderId="11" xfId="0" applyNumberFormat="1" applyFont="1" applyFill="1" applyBorder="1" applyAlignment="1">
      <alignment horizontal="center" vertical="center"/>
    </xf>
    <xf numFmtId="190" fontId="37" fillId="44" borderId="13" xfId="0" applyNumberFormat="1" applyFont="1" applyFill="1" applyBorder="1" applyAlignment="1">
      <alignment horizontal="center" vertical="center"/>
    </xf>
    <xf numFmtId="190" fontId="37" fillId="0" borderId="0" xfId="0" applyNumberFormat="1" applyFont="1" applyAlignment="1">
      <alignment/>
    </xf>
    <xf numFmtId="190" fontId="37" fillId="45" borderId="10" xfId="0" applyNumberFormat="1" applyFont="1" applyFill="1" applyBorder="1" applyAlignment="1">
      <alignment horizontal="center" vertical="center"/>
    </xf>
    <xf numFmtId="190" fontId="37" fillId="45" borderId="11" xfId="0" applyNumberFormat="1" applyFont="1" applyFill="1" applyBorder="1" applyAlignment="1">
      <alignment horizontal="center" vertical="center"/>
    </xf>
    <xf numFmtId="190" fontId="37" fillId="45" borderId="13" xfId="0" applyNumberFormat="1" applyFont="1" applyFill="1" applyBorder="1" applyAlignment="1">
      <alignment horizontal="center" vertical="center"/>
    </xf>
    <xf numFmtId="190" fontId="37" fillId="46" borderId="10" xfId="0" applyNumberFormat="1" applyFont="1" applyFill="1" applyBorder="1" applyAlignment="1">
      <alignment horizontal="center" vertical="center"/>
    </xf>
    <xf numFmtId="190" fontId="37" fillId="46" borderId="11" xfId="0" applyNumberFormat="1" applyFont="1" applyFill="1" applyBorder="1" applyAlignment="1">
      <alignment horizontal="center" vertical="center"/>
    </xf>
    <xf numFmtId="190" fontId="37" fillId="46" borderId="13" xfId="0" applyNumberFormat="1" applyFont="1" applyFill="1" applyBorder="1" applyAlignment="1">
      <alignment horizontal="center" vertical="center"/>
    </xf>
    <xf numFmtId="190" fontId="37" fillId="47" borderId="10" xfId="0" applyNumberFormat="1" applyFont="1" applyFill="1" applyBorder="1" applyAlignment="1">
      <alignment horizontal="center" vertical="center"/>
    </xf>
    <xf numFmtId="190" fontId="37" fillId="47" borderId="11" xfId="0" applyNumberFormat="1" applyFont="1" applyFill="1" applyBorder="1" applyAlignment="1">
      <alignment horizontal="center" vertical="center"/>
    </xf>
    <xf numFmtId="190" fontId="37" fillId="47" borderId="13" xfId="0" applyNumberFormat="1" applyFont="1" applyFill="1" applyBorder="1" applyAlignment="1">
      <alignment horizontal="center" vertical="center"/>
    </xf>
    <xf numFmtId="190" fontId="37" fillId="48" borderId="10" xfId="0" applyNumberFormat="1" applyFont="1" applyFill="1" applyBorder="1" applyAlignment="1">
      <alignment horizontal="center" vertical="center"/>
    </xf>
    <xf numFmtId="190" fontId="37" fillId="48" borderId="11" xfId="0" applyNumberFormat="1" applyFont="1" applyFill="1" applyBorder="1" applyAlignment="1">
      <alignment horizontal="center" vertical="center"/>
    </xf>
    <xf numFmtId="190" fontId="37" fillId="48" borderId="13" xfId="0" applyNumberFormat="1" applyFont="1" applyFill="1" applyBorder="1" applyAlignment="1">
      <alignment horizontal="center" vertical="center"/>
    </xf>
    <xf numFmtId="190" fontId="37" fillId="49" borderId="10" xfId="0" applyNumberFormat="1" applyFont="1" applyFill="1" applyBorder="1" applyAlignment="1">
      <alignment horizontal="center" vertical="center"/>
    </xf>
    <xf numFmtId="190" fontId="37" fillId="49" borderId="13" xfId="0" applyNumberFormat="1" applyFont="1" applyFill="1" applyBorder="1" applyAlignment="1">
      <alignment horizontal="center" vertical="center"/>
    </xf>
    <xf numFmtId="0" fontId="37" fillId="50" borderId="10" xfId="0" applyFont="1" applyFill="1" applyBorder="1" applyAlignment="1">
      <alignment horizontal="center" vertical="center"/>
    </xf>
    <xf numFmtId="190" fontId="37" fillId="50" borderId="11" xfId="0" applyNumberFormat="1" applyFont="1" applyFill="1" applyBorder="1" applyAlignment="1">
      <alignment horizontal="center" vertical="center"/>
    </xf>
    <xf numFmtId="190" fontId="37" fillId="50" borderId="13" xfId="0" applyNumberFormat="1" applyFont="1" applyFill="1" applyBorder="1" applyAlignment="1">
      <alignment horizontal="center" vertical="center"/>
    </xf>
    <xf numFmtId="190" fontId="70" fillId="14" borderId="14" xfId="0" applyNumberFormat="1" applyFont="1" applyFill="1" applyBorder="1" applyAlignment="1">
      <alignment horizontal="center" vertical="center"/>
    </xf>
    <xf numFmtId="0" fontId="70" fillId="51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50" borderId="35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0" fontId="1" fillId="42" borderId="24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41" borderId="21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 horizontal="center" vertical="center"/>
    </xf>
    <xf numFmtId="0" fontId="38" fillId="47" borderId="34" xfId="0" applyFont="1" applyFill="1" applyBorder="1" applyAlignment="1">
      <alignment horizontal="center" vertical="center" textRotation="90" wrapText="1"/>
    </xf>
    <xf numFmtId="0" fontId="38" fillId="47" borderId="36" xfId="0" applyFont="1" applyFill="1" applyBorder="1" applyAlignment="1">
      <alignment horizontal="center" vertical="center" textRotation="90" wrapText="1"/>
    </xf>
    <xf numFmtId="0" fontId="38" fillId="47" borderId="12" xfId="0" applyFont="1" applyFill="1" applyBorder="1" applyAlignment="1">
      <alignment horizontal="center" vertical="center" textRotation="90" wrapText="1"/>
    </xf>
    <xf numFmtId="0" fontId="38" fillId="48" borderId="34" xfId="0" applyFont="1" applyFill="1" applyBorder="1" applyAlignment="1">
      <alignment horizontal="center" vertical="center" textRotation="90" wrapText="1"/>
    </xf>
    <xf numFmtId="0" fontId="38" fillId="48" borderId="36" xfId="0" applyFont="1" applyFill="1" applyBorder="1" applyAlignment="1">
      <alignment horizontal="center" vertical="center" textRotation="90" wrapText="1"/>
    </xf>
    <xf numFmtId="0" fontId="38" fillId="48" borderId="12" xfId="0" applyFont="1" applyFill="1" applyBorder="1" applyAlignment="1">
      <alignment horizontal="center" vertical="center" textRotation="90" wrapText="1"/>
    </xf>
    <xf numFmtId="0" fontId="12" fillId="52" borderId="18" xfId="0" applyFont="1" applyFill="1" applyBorder="1" applyAlignment="1">
      <alignment vertical="center" wrapText="1"/>
    </xf>
    <xf numFmtId="0" fontId="12" fillId="52" borderId="25" xfId="0" applyFont="1" applyFill="1" applyBorder="1" applyAlignment="1">
      <alignment vertical="center" wrapText="1"/>
    </xf>
    <xf numFmtId="0" fontId="12" fillId="52" borderId="17" xfId="0" applyFont="1" applyFill="1" applyBorder="1" applyAlignment="1">
      <alignment vertical="center" wrapText="1"/>
    </xf>
    <xf numFmtId="0" fontId="12" fillId="52" borderId="23" xfId="0" applyFont="1" applyFill="1" applyBorder="1" applyAlignment="1">
      <alignment vertical="center" wrapText="1"/>
    </xf>
    <xf numFmtId="0" fontId="38" fillId="43" borderId="34" xfId="0" applyFont="1" applyFill="1" applyBorder="1" applyAlignment="1">
      <alignment horizontal="center" vertical="center" textRotation="90" wrapText="1"/>
    </xf>
    <xf numFmtId="0" fontId="38" fillId="43" borderId="36" xfId="0" applyFont="1" applyFill="1" applyBorder="1" applyAlignment="1">
      <alignment horizontal="center" vertical="center" textRotation="90" wrapText="1"/>
    </xf>
    <xf numFmtId="0" fontId="38" fillId="43" borderId="12" xfId="0" applyFont="1" applyFill="1" applyBorder="1" applyAlignment="1">
      <alignment horizontal="center" vertical="center" textRotation="90" wrapText="1"/>
    </xf>
    <xf numFmtId="0" fontId="38" fillId="44" borderId="34" xfId="0" applyFont="1" applyFill="1" applyBorder="1" applyAlignment="1">
      <alignment horizontal="center" textRotation="90" wrapText="1"/>
    </xf>
    <xf numFmtId="0" fontId="38" fillId="44" borderId="36" xfId="0" applyFont="1" applyFill="1" applyBorder="1" applyAlignment="1">
      <alignment horizontal="center" textRotation="90" wrapText="1"/>
    </xf>
    <xf numFmtId="0" fontId="38" fillId="44" borderId="12" xfId="0" applyFont="1" applyFill="1" applyBorder="1" applyAlignment="1">
      <alignment horizontal="center" textRotation="90" wrapText="1"/>
    </xf>
    <xf numFmtId="0" fontId="38" fillId="45" borderId="34" xfId="0" applyFont="1" applyFill="1" applyBorder="1" applyAlignment="1">
      <alignment horizontal="center" vertical="center" textRotation="90" wrapText="1"/>
    </xf>
    <xf numFmtId="0" fontId="38" fillId="45" borderId="36" xfId="0" applyFont="1" applyFill="1" applyBorder="1" applyAlignment="1">
      <alignment horizontal="center" vertical="center" textRotation="90" wrapText="1"/>
    </xf>
    <xf numFmtId="0" fontId="38" fillId="45" borderId="12" xfId="0" applyFont="1" applyFill="1" applyBorder="1" applyAlignment="1">
      <alignment horizontal="center" vertical="center" textRotation="90" wrapText="1"/>
    </xf>
    <xf numFmtId="0" fontId="38" fillId="46" borderId="34" xfId="0" applyFont="1" applyFill="1" applyBorder="1" applyAlignment="1">
      <alignment horizontal="center" vertical="center" textRotation="90" wrapText="1"/>
    </xf>
    <xf numFmtId="0" fontId="38" fillId="46" borderId="36" xfId="0" applyFont="1" applyFill="1" applyBorder="1" applyAlignment="1">
      <alignment horizontal="center" vertical="center" textRotation="90" wrapText="1"/>
    </xf>
    <xf numFmtId="0" fontId="38" fillId="46" borderId="12" xfId="0" applyFont="1" applyFill="1" applyBorder="1" applyAlignment="1">
      <alignment horizontal="center" vertical="center" textRotation="90" wrapText="1"/>
    </xf>
    <xf numFmtId="0" fontId="38" fillId="49" borderId="34" xfId="0" applyFont="1" applyFill="1" applyBorder="1" applyAlignment="1">
      <alignment horizontal="center" vertical="center" textRotation="90" wrapText="1"/>
    </xf>
    <xf numFmtId="0" fontId="38" fillId="49" borderId="12" xfId="0" applyFont="1" applyFill="1" applyBorder="1" applyAlignment="1">
      <alignment horizontal="center" vertical="center" textRotation="90" wrapText="1"/>
    </xf>
    <xf numFmtId="0" fontId="38" fillId="50" borderId="34" xfId="0" applyFont="1" applyFill="1" applyBorder="1" applyAlignment="1">
      <alignment horizontal="center" vertical="center" textRotation="90" wrapText="1"/>
    </xf>
    <xf numFmtId="0" fontId="38" fillId="50" borderId="36" xfId="0" applyFont="1" applyFill="1" applyBorder="1" applyAlignment="1">
      <alignment horizontal="center" vertical="center" textRotation="90" wrapText="1"/>
    </xf>
    <xf numFmtId="0" fontId="38" fillId="50" borderId="12" xfId="0" applyFont="1" applyFill="1" applyBorder="1" applyAlignment="1">
      <alignment horizontal="center" vertical="center" textRotation="90" wrapText="1"/>
    </xf>
    <xf numFmtId="0" fontId="71" fillId="14" borderId="15" xfId="0" applyFont="1" applyFill="1" applyBorder="1" applyAlignment="1">
      <alignment horizontal="center" vertical="center"/>
    </xf>
    <xf numFmtId="0" fontId="71" fillId="14" borderId="20" xfId="0" applyFont="1" applyFill="1" applyBorder="1" applyAlignment="1">
      <alignment horizontal="center" vertical="center"/>
    </xf>
    <xf numFmtId="0" fontId="71" fillId="14" borderId="18" xfId="0" applyFont="1" applyFill="1" applyBorder="1" applyAlignment="1">
      <alignment horizontal="center" vertical="center"/>
    </xf>
    <xf numFmtId="0" fontId="71" fillId="14" borderId="25" xfId="0" applyFont="1" applyFill="1" applyBorder="1" applyAlignment="1">
      <alignment horizontal="center" vertical="center"/>
    </xf>
    <xf numFmtId="0" fontId="72" fillId="51" borderId="17" xfId="0" applyFont="1" applyFill="1" applyBorder="1" applyAlignment="1">
      <alignment horizontal="center" vertical="center" wrapText="1"/>
    </xf>
    <xf numFmtId="0" fontId="72" fillId="51" borderId="22" xfId="0" applyFont="1" applyFill="1" applyBorder="1" applyAlignment="1">
      <alignment horizontal="center" vertical="center" wrapText="1"/>
    </xf>
    <xf numFmtId="0" fontId="72" fillId="51" borderId="23" xfId="0" applyFont="1" applyFill="1" applyBorder="1" applyAlignment="1">
      <alignment horizontal="center" vertical="center" wrapText="1"/>
    </xf>
    <xf numFmtId="0" fontId="69" fillId="50" borderId="18" xfId="0" applyFont="1" applyFill="1" applyBorder="1" applyAlignment="1">
      <alignment horizontal="left" vertical="center" wrapText="1"/>
    </xf>
    <xf numFmtId="0" fontId="69" fillId="50" borderId="25" xfId="0" applyFont="1" applyFill="1" applyBorder="1" applyAlignment="1">
      <alignment horizontal="left" vertical="center" wrapText="1"/>
    </xf>
    <xf numFmtId="0" fontId="7" fillId="42" borderId="34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2" fontId="3" fillId="53" borderId="34" xfId="0" applyNumberFormat="1" applyFont="1" applyFill="1" applyBorder="1" applyAlignment="1">
      <alignment horizontal="center" vertical="center"/>
    </xf>
    <xf numFmtId="0" fontId="3" fillId="53" borderId="12" xfId="0" applyFont="1" applyFill="1" applyBorder="1" applyAlignment="1">
      <alignment horizontal="center" vertical="center"/>
    </xf>
    <xf numFmtId="2" fontId="3" fillId="54" borderId="34" xfId="0" applyNumberFormat="1" applyFont="1" applyFill="1" applyBorder="1" applyAlignment="1">
      <alignment horizontal="center" vertical="center"/>
    </xf>
    <xf numFmtId="0" fontId="3" fillId="54" borderId="12" xfId="0" applyFont="1" applyFill="1" applyBorder="1" applyAlignment="1">
      <alignment horizontal="center" vertical="center"/>
    </xf>
    <xf numFmtId="2" fontId="3" fillId="55" borderId="34" xfId="0" applyNumberFormat="1" applyFont="1" applyFill="1" applyBorder="1" applyAlignment="1">
      <alignment horizontal="center" vertical="center"/>
    </xf>
    <xf numFmtId="0" fontId="3" fillId="55" borderId="12" xfId="0" applyFont="1" applyFill="1" applyBorder="1" applyAlignment="1">
      <alignment horizontal="center" vertical="center"/>
    </xf>
    <xf numFmtId="2" fontId="3" fillId="36" borderId="34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2" fontId="3" fillId="56" borderId="34" xfId="0" applyNumberFormat="1" applyFont="1" applyFill="1" applyBorder="1" applyAlignment="1">
      <alignment horizontal="center" vertical="center"/>
    </xf>
    <xf numFmtId="0" fontId="3" fillId="56" borderId="12" xfId="0" applyFont="1" applyFill="1" applyBorder="1" applyAlignment="1">
      <alignment horizontal="center" vertical="center"/>
    </xf>
    <xf numFmtId="2" fontId="0" fillId="53" borderId="34" xfId="0" applyNumberFormat="1" applyFill="1" applyBorder="1" applyAlignment="1">
      <alignment horizontal="center" vertical="center"/>
    </xf>
    <xf numFmtId="0" fontId="0" fillId="53" borderId="12" xfId="0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2" fontId="3" fillId="57" borderId="34" xfId="0" applyNumberFormat="1" applyFont="1" applyFill="1" applyBorder="1" applyAlignment="1">
      <alignment horizontal="center" vertical="center"/>
    </xf>
    <xf numFmtId="0" fontId="3" fillId="57" borderId="12" xfId="0" applyFont="1" applyFill="1" applyBorder="1" applyAlignment="1">
      <alignment horizontal="center" vertical="center"/>
    </xf>
    <xf numFmtId="1" fontId="5" fillId="57" borderId="34" xfId="0" applyNumberFormat="1" applyFont="1" applyFill="1" applyBorder="1" applyAlignment="1">
      <alignment horizontal="center" vertical="center"/>
    </xf>
    <xf numFmtId="1" fontId="5" fillId="57" borderId="12" xfId="0" applyNumberFormat="1" applyFont="1" applyFill="1" applyBorder="1" applyAlignment="1">
      <alignment horizontal="center" vertical="center"/>
    </xf>
    <xf numFmtId="1" fontId="5" fillId="56" borderId="34" xfId="0" applyNumberFormat="1" applyFont="1" applyFill="1" applyBorder="1" applyAlignment="1">
      <alignment horizontal="center" vertical="center"/>
    </xf>
    <xf numFmtId="1" fontId="5" fillId="56" borderId="12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5" fillId="57" borderId="34" xfId="0" applyFont="1" applyFill="1" applyBorder="1" applyAlignment="1">
      <alignment horizontal="center" vertical="center" wrapText="1"/>
    </xf>
    <xf numFmtId="0" fontId="5" fillId="57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1" fontId="5" fillId="36" borderId="34" xfId="0" applyNumberFormat="1" applyFont="1" applyFill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0" fontId="5" fillId="56" borderId="34" xfId="0" applyFont="1" applyFill="1" applyBorder="1" applyAlignment="1">
      <alignment horizontal="center" vertical="center" wrapText="1"/>
    </xf>
    <xf numFmtId="0" fontId="5" fillId="56" borderId="12" xfId="0" applyFont="1" applyFill="1" applyBorder="1" applyAlignment="1">
      <alignment horizontal="center" vertical="center" wrapText="1"/>
    </xf>
    <xf numFmtId="1" fontId="5" fillId="55" borderId="34" xfId="0" applyNumberFormat="1" applyFont="1" applyFill="1" applyBorder="1" applyAlignment="1">
      <alignment horizontal="center" vertical="center"/>
    </xf>
    <xf numFmtId="1" fontId="5" fillId="55" borderId="12" xfId="0" applyNumberFormat="1" applyFont="1" applyFill="1" applyBorder="1" applyAlignment="1">
      <alignment horizontal="center" vertical="center"/>
    </xf>
    <xf numFmtId="0" fontId="5" fillId="53" borderId="34" xfId="0" applyFont="1" applyFill="1" applyBorder="1" applyAlignment="1">
      <alignment horizontal="center" vertical="center" wrapText="1"/>
    </xf>
    <xf numFmtId="0" fontId="5" fillId="53" borderId="12" xfId="0" applyFont="1" applyFill="1" applyBorder="1" applyAlignment="1">
      <alignment horizontal="center" vertical="center" wrapText="1"/>
    </xf>
    <xf numFmtId="0" fontId="5" fillId="54" borderId="34" xfId="0" applyFont="1" applyFill="1" applyBorder="1" applyAlignment="1">
      <alignment horizontal="center" vertical="center" wrapText="1"/>
    </xf>
    <xf numFmtId="0" fontId="5" fillId="54" borderId="12" xfId="0" applyFont="1" applyFill="1" applyBorder="1" applyAlignment="1">
      <alignment horizontal="center" vertical="center" wrapText="1"/>
    </xf>
    <xf numFmtId="2" fontId="0" fillId="33" borderId="34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0" fontId="9" fillId="0" borderId="37" xfId="0" applyNumberFormat="1" applyFont="1" applyFill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center" vertical="center"/>
    </xf>
    <xf numFmtId="1" fontId="5" fillId="53" borderId="34" xfId="0" applyNumberFormat="1" applyFont="1" applyFill="1" applyBorder="1" applyAlignment="1">
      <alignment horizontal="center" vertical="center"/>
    </xf>
    <xf numFmtId="1" fontId="5" fillId="53" borderId="12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1" fontId="5" fillId="54" borderId="34" xfId="0" applyNumberFormat="1" applyFont="1" applyFill="1" applyBorder="1" applyAlignment="1">
      <alignment horizontal="center" vertical="center"/>
    </xf>
    <xf numFmtId="1" fontId="5" fillId="54" borderId="12" xfId="0" applyNumberFormat="1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center" vertical="center" wrapText="1"/>
    </xf>
    <xf numFmtId="0" fontId="5" fillId="55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Best Boxed Solutions: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225"/>
          <c:w val="0.979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v>Кутия 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33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6FF33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99FF"/>
              </a:solidFill>
              <a:ln w="3175">
                <a:noFill/>
              </a:ln>
            </c:spPr>
          </c:dPt>
          <c:val>
            <c:numRef>
              <c:f>('BIZ - Boxed Solutions'!$G$12,'BIZ - Boxed Solutions'!$G$17,'BIZ - Boxed Solutions'!$G$27,'BIZ - Boxed Solutions'!$G$32,'BIZ - Boxed Solutions'!$G$37,'BIZ - Boxed Solutions'!$G$55,'BIZ - Boxed Solutions'!$G$59,'BIZ - Boxed Solutions'!$G$69)</c:f>
              <c:numCache/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5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0</xdr:row>
      <xdr:rowOff>209550</xdr:rowOff>
    </xdr:from>
    <xdr:to>
      <xdr:col>22</xdr:col>
      <xdr:colOff>285750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9906000" y="209550"/>
        <a:ext cx="82296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90" zoomScaleNormal="90" zoomScalePageLayoutView="0" workbookViewId="0" topLeftCell="A1">
      <selection activeCell="I3" sqref="I3"/>
    </sheetView>
  </sheetViews>
  <sheetFormatPr defaultColWidth="9.140625" defaultRowHeight="12.75"/>
  <cols>
    <col min="1" max="1" width="5.7109375" style="97" bestFit="1" customWidth="1"/>
    <col min="2" max="2" width="5.421875" style="94" bestFit="1" customWidth="1"/>
    <col min="3" max="3" width="52.7109375" style="0" bestFit="1" customWidth="1"/>
    <col min="4" max="4" width="44.00390625" style="0" customWidth="1"/>
    <col min="5" max="5" width="4.421875" style="93" bestFit="1" customWidth="1"/>
    <col min="6" max="6" width="9.140625" style="88" customWidth="1"/>
    <col min="7" max="7" width="9.140625" style="89" customWidth="1"/>
  </cols>
  <sheetData>
    <row r="1" spans="1:7" ht="30" customHeight="1" thickBot="1">
      <c r="A1" s="260" t="s">
        <v>94</v>
      </c>
      <c r="B1" s="261"/>
      <c r="C1" s="261"/>
      <c r="D1" s="262"/>
      <c r="F1" s="256" t="s">
        <v>0</v>
      </c>
      <c r="G1" s="257"/>
    </row>
    <row r="2" spans="2:7" ht="16.5" thickBot="1">
      <c r="B2" s="263" t="s">
        <v>117</v>
      </c>
      <c r="C2" s="264"/>
      <c r="D2" s="184" t="s">
        <v>98</v>
      </c>
      <c r="F2" s="258"/>
      <c r="G2" s="259"/>
    </row>
    <row r="3" spans="1:7" ht="24.75" thickBot="1">
      <c r="A3" s="239" t="s">
        <v>116</v>
      </c>
      <c r="B3" s="98" t="s">
        <v>37</v>
      </c>
      <c r="C3" s="99" t="s">
        <v>174</v>
      </c>
      <c r="D3" s="100" t="s">
        <v>118</v>
      </c>
      <c r="E3" s="185">
        <v>24.3</v>
      </c>
      <c r="F3" s="101"/>
      <c r="G3" s="102">
        <f>IF(F3="V",E3,"")</f>
      </c>
    </row>
    <row r="4" spans="1:7" ht="24.75" thickBot="1">
      <c r="A4" s="240"/>
      <c r="B4" s="98" t="s">
        <v>38</v>
      </c>
      <c r="C4" s="103" t="s">
        <v>175</v>
      </c>
      <c r="D4" s="104" t="s">
        <v>119</v>
      </c>
      <c r="E4" s="186">
        <v>2.8</v>
      </c>
      <c r="F4" s="105"/>
      <c r="G4" s="106">
        <f aca="true" t="shared" si="0" ref="G4:G11">IF(F4="V",E4,"")</f>
      </c>
    </row>
    <row r="5" spans="1:7" ht="36.75" thickBot="1">
      <c r="A5" s="240"/>
      <c r="B5" s="98" t="s">
        <v>39</v>
      </c>
      <c r="C5" s="103" t="s">
        <v>176</v>
      </c>
      <c r="D5" s="104" t="s">
        <v>120</v>
      </c>
      <c r="E5" s="186">
        <v>4</v>
      </c>
      <c r="F5" s="105"/>
      <c r="G5" s="106">
        <f t="shared" si="0"/>
      </c>
    </row>
    <row r="6" spans="1:7" ht="24.75" thickBot="1">
      <c r="A6" s="240"/>
      <c r="B6" s="98" t="s">
        <v>40</v>
      </c>
      <c r="C6" s="103" t="s">
        <v>2</v>
      </c>
      <c r="D6" s="104" t="s">
        <v>121</v>
      </c>
      <c r="E6" s="186">
        <v>6.6</v>
      </c>
      <c r="F6" s="105"/>
      <c r="G6" s="106">
        <f t="shared" si="0"/>
      </c>
    </row>
    <row r="7" spans="1:7" ht="24.75" thickBot="1">
      <c r="A7" s="240"/>
      <c r="B7" s="107" t="s">
        <v>41</v>
      </c>
      <c r="C7" s="103" t="s">
        <v>177</v>
      </c>
      <c r="D7" s="104" t="s">
        <v>122</v>
      </c>
      <c r="E7" s="186">
        <v>11.6</v>
      </c>
      <c r="F7" s="105"/>
      <c r="G7" s="106">
        <f t="shared" si="0"/>
      </c>
    </row>
    <row r="8" spans="1:7" ht="15.75" thickBot="1">
      <c r="A8" s="240"/>
      <c r="B8" s="98" t="s">
        <v>42</v>
      </c>
      <c r="C8" s="103" t="s">
        <v>178</v>
      </c>
      <c r="D8" s="104" t="s">
        <v>123</v>
      </c>
      <c r="E8" s="186">
        <v>4.6</v>
      </c>
      <c r="F8" s="105"/>
      <c r="G8" s="106">
        <f t="shared" si="0"/>
      </c>
    </row>
    <row r="9" spans="1:7" ht="24.75" thickBot="1">
      <c r="A9" s="240"/>
      <c r="B9" s="98" t="s">
        <v>43</v>
      </c>
      <c r="C9" s="103" t="s">
        <v>179</v>
      </c>
      <c r="D9" s="104" t="s">
        <v>124</v>
      </c>
      <c r="E9" s="186">
        <f>7.6+8.2</f>
        <v>15.799999999999999</v>
      </c>
      <c r="F9" s="105"/>
      <c r="G9" s="106">
        <f t="shared" si="0"/>
      </c>
    </row>
    <row r="10" spans="1:7" ht="36.75" thickBot="1">
      <c r="A10" s="240"/>
      <c r="B10" s="98" t="s">
        <v>44</v>
      </c>
      <c r="C10" s="103" t="s">
        <v>206</v>
      </c>
      <c r="D10" s="104" t="s">
        <v>125</v>
      </c>
      <c r="E10" s="186">
        <v>6</v>
      </c>
      <c r="F10" s="105"/>
      <c r="G10" s="106">
        <f t="shared" si="0"/>
      </c>
    </row>
    <row r="11" spans="1:7" ht="36.75" thickBot="1">
      <c r="A11" s="241"/>
      <c r="B11" s="98" t="s">
        <v>45</v>
      </c>
      <c r="C11" s="103" t="s">
        <v>180</v>
      </c>
      <c r="D11" s="108" t="s">
        <v>126</v>
      </c>
      <c r="E11" s="187">
        <v>24.3</v>
      </c>
      <c r="F11" s="109"/>
      <c r="G11" s="110">
        <f t="shared" si="0"/>
      </c>
    </row>
    <row r="12" spans="3:7" ht="16.5" thickBot="1">
      <c r="C12" s="96"/>
      <c r="D12" s="95"/>
      <c r="E12" s="188"/>
      <c r="F12" s="92"/>
      <c r="G12" s="183">
        <f>SUM(G3:G11)</f>
        <v>0</v>
      </c>
    </row>
    <row r="13" spans="3:7" ht="16.5" thickBot="1">
      <c r="C13" s="235" t="s">
        <v>127</v>
      </c>
      <c r="D13" s="236"/>
      <c r="F13" s="4"/>
      <c r="G13" s="3"/>
    </row>
    <row r="14" spans="1:7" ht="29.25" customHeight="1" thickBot="1">
      <c r="A14" s="242" t="s">
        <v>127</v>
      </c>
      <c r="B14" s="111" t="s">
        <v>46</v>
      </c>
      <c r="C14" s="112" t="s">
        <v>12</v>
      </c>
      <c r="D14" s="113" t="s">
        <v>128</v>
      </c>
      <c r="E14" s="189">
        <v>32.5</v>
      </c>
      <c r="F14" s="114"/>
      <c r="G14" s="115">
        <f>IF(F14="V",E14,"")</f>
      </c>
    </row>
    <row r="15" spans="1:7" ht="27" customHeight="1" thickBot="1">
      <c r="A15" s="243"/>
      <c r="B15" s="111" t="s">
        <v>47</v>
      </c>
      <c r="C15" s="112" t="s">
        <v>181</v>
      </c>
      <c r="D15" s="113" t="s">
        <v>129</v>
      </c>
      <c r="E15" s="190">
        <v>35</v>
      </c>
      <c r="F15" s="116"/>
      <c r="G15" s="117">
        <f>IF(F15="V",E15,"")</f>
      </c>
    </row>
    <row r="16" spans="1:7" ht="31.5" customHeight="1" thickBot="1">
      <c r="A16" s="244"/>
      <c r="B16" s="111" t="s">
        <v>48</v>
      </c>
      <c r="C16" s="112" t="s">
        <v>182</v>
      </c>
      <c r="D16" s="113" t="s">
        <v>130</v>
      </c>
      <c r="E16" s="191">
        <v>32.5</v>
      </c>
      <c r="F16" s="118"/>
      <c r="G16" s="119">
        <f>IF(F16="V",E16,"")</f>
      </c>
    </row>
    <row r="17" spans="3:7" ht="16.5" thickBot="1">
      <c r="C17" s="90"/>
      <c r="D17" s="91"/>
      <c r="E17" s="192"/>
      <c r="F17" s="2"/>
      <c r="G17" s="142">
        <f>SUM(G14:G16)</f>
        <v>0</v>
      </c>
    </row>
    <row r="18" spans="3:7" ht="16.5" thickBot="1">
      <c r="C18" s="237" t="s">
        <v>131</v>
      </c>
      <c r="D18" s="238"/>
      <c r="F18" s="4"/>
      <c r="G18" s="3"/>
    </row>
    <row r="19" spans="1:7" ht="24.75" thickBot="1">
      <c r="A19" s="245" t="s">
        <v>131</v>
      </c>
      <c r="B19" s="120" t="s">
        <v>49</v>
      </c>
      <c r="C19" s="121" t="s">
        <v>106</v>
      </c>
      <c r="D19" s="122" t="s">
        <v>132</v>
      </c>
      <c r="E19" s="193">
        <v>38</v>
      </c>
      <c r="F19" s="123"/>
      <c r="G19" s="124">
        <f aca="true" t="shared" si="1" ref="G19:G26">IF(F19="V",E19,"")</f>
      </c>
    </row>
    <row r="20" spans="1:7" ht="36.75" thickBot="1">
      <c r="A20" s="246"/>
      <c r="B20" s="120" t="s">
        <v>50</v>
      </c>
      <c r="C20" s="121" t="s">
        <v>183</v>
      </c>
      <c r="D20" s="122" t="s">
        <v>133</v>
      </c>
      <c r="E20" s="194">
        <v>9</v>
      </c>
      <c r="F20" s="125"/>
      <c r="G20" s="126">
        <f t="shared" si="1"/>
      </c>
    </row>
    <row r="21" spans="1:7" ht="24.75" thickBot="1">
      <c r="A21" s="246"/>
      <c r="B21" s="120" t="s">
        <v>51</v>
      </c>
      <c r="C21" s="121" t="s">
        <v>184</v>
      </c>
      <c r="D21" s="122" t="s">
        <v>134</v>
      </c>
      <c r="E21" s="194">
        <v>10</v>
      </c>
      <c r="F21" s="125"/>
      <c r="G21" s="126">
        <f t="shared" si="1"/>
      </c>
    </row>
    <row r="22" spans="1:7" ht="24.75" thickBot="1">
      <c r="A22" s="246"/>
      <c r="B22" s="127" t="s">
        <v>52</v>
      </c>
      <c r="C22" s="121" t="s">
        <v>107</v>
      </c>
      <c r="D22" s="122" t="s">
        <v>135</v>
      </c>
      <c r="E22" s="194">
        <v>4</v>
      </c>
      <c r="F22" s="125"/>
      <c r="G22" s="126">
        <f t="shared" si="1"/>
      </c>
    </row>
    <row r="23" spans="1:7" ht="36.75" thickBot="1">
      <c r="A23" s="246"/>
      <c r="B23" s="120" t="s">
        <v>53</v>
      </c>
      <c r="C23" s="121" t="s">
        <v>185</v>
      </c>
      <c r="D23" s="122" t="s">
        <v>136</v>
      </c>
      <c r="E23" s="194">
        <v>2</v>
      </c>
      <c r="F23" s="128"/>
      <c r="G23" s="126">
        <f t="shared" si="1"/>
      </c>
    </row>
    <row r="24" spans="1:7" ht="36.75" thickBot="1">
      <c r="A24" s="246"/>
      <c r="B24" s="120" t="s">
        <v>54</v>
      </c>
      <c r="C24" s="121" t="s">
        <v>186</v>
      </c>
      <c r="D24" s="122" t="s">
        <v>137</v>
      </c>
      <c r="E24" s="194">
        <v>4</v>
      </c>
      <c r="F24" s="125"/>
      <c r="G24" s="126">
        <f t="shared" si="1"/>
      </c>
    </row>
    <row r="25" spans="1:7" ht="15.75" thickBot="1">
      <c r="A25" s="246"/>
      <c r="B25" s="120" t="s">
        <v>55</v>
      </c>
      <c r="C25" s="121" t="s">
        <v>187</v>
      </c>
      <c r="D25" s="122" t="s">
        <v>138</v>
      </c>
      <c r="E25" s="194">
        <v>30</v>
      </c>
      <c r="F25" s="125"/>
      <c r="G25" s="126">
        <f t="shared" si="1"/>
      </c>
    </row>
    <row r="26" spans="1:7" ht="15.75" thickBot="1">
      <c r="A26" s="247"/>
      <c r="B26" s="120" t="s">
        <v>56</v>
      </c>
      <c r="C26" s="121" t="s">
        <v>188</v>
      </c>
      <c r="D26" s="122" t="s">
        <v>13</v>
      </c>
      <c r="E26" s="195">
        <v>3</v>
      </c>
      <c r="F26" s="129"/>
      <c r="G26" s="130">
        <f t="shared" si="1"/>
      </c>
    </row>
    <row r="27" spans="3:7" ht="16.5" thickBot="1">
      <c r="C27" s="90"/>
      <c r="D27" s="91"/>
      <c r="E27" s="192"/>
      <c r="F27" s="4"/>
      <c r="G27" s="141">
        <f>SUM(G19:G26)</f>
        <v>0</v>
      </c>
    </row>
    <row r="28" spans="3:4" ht="16.5" thickBot="1">
      <c r="C28" s="237" t="s">
        <v>139</v>
      </c>
      <c r="D28" s="238"/>
    </row>
    <row r="29" spans="1:7" ht="39" customHeight="1" thickBot="1">
      <c r="A29" s="248" t="s">
        <v>139</v>
      </c>
      <c r="B29" s="131" t="s">
        <v>57</v>
      </c>
      <c r="C29" s="132" t="s">
        <v>189</v>
      </c>
      <c r="D29" s="133" t="s">
        <v>140</v>
      </c>
      <c r="E29" s="196">
        <f>4.8+28.6</f>
        <v>33.4</v>
      </c>
      <c r="F29" s="134"/>
      <c r="G29" s="135">
        <f>IF(F29="V",E29,"")</f>
      </c>
    </row>
    <row r="30" spans="1:7" ht="24" customHeight="1" thickBot="1">
      <c r="A30" s="249"/>
      <c r="B30" s="131" t="s">
        <v>58</v>
      </c>
      <c r="C30" s="132" t="s">
        <v>190</v>
      </c>
      <c r="D30" s="133" t="s">
        <v>141</v>
      </c>
      <c r="E30" s="197">
        <f>4.8+22.1</f>
        <v>26.900000000000002</v>
      </c>
      <c r="F30" s="136"/>
      <c r="G30" s="137">
        <f>IF(F30="V",E30,"")</f>
      </c>
    </row>
    <row r="31" spans="1:7" ht="29.25" customHeight="1" thickBot="1">
      <c r="A31" s="250"/>
      <c r="B31" s="131" t="s">
        <v>59</v>
      </c>
      <c r="C31" s="132" t="s">
        <v>108</v>
      </c>
      <c r="D31" s="133" t="s">
        <v>142</v>
      </c>
      <c r="E31" s="198">
        <f>4.7+35</f>
        <v>39.7</v>
      </c>
      <c r="F31" s="138"/>
      <c r="G31" s="139">
        <f>IF(F31="V",E31,"")</f>
      </c>
    </row>
    <row r="32" spans="3:7" ht="16.5" thickBot="1">
      <c r="C32" s="90"/>
      <c r="D32" s="91"/>
      <c r="E32" s="192"/>
      <c r="F32" s="4"/>
      <c r="G32" s="140">
        <f>SUM(G29:G31)</f>
        <v>0</v>
      </c>
    </row>
    <row r="33" spans="3:4" ht="16.5" thickBot="1">
      <c r="C33" s="237" t="s">
        <v>143</v>
      </c>
      <c r="D33" s="238"/>
    </row>
    <row r="34" spans="1:7" ht="16.5" customHeight="1" thickBot="1">
      <c r="A34" s="229" t="s">
        <v>172</v>
      </c>
      <c r="B34" s="143" t="s">
        <v>60</v>
      </c>
      <c r="C34" s="144" t="s">
        <v>109</v>
      </c>
      <c r="D34" s="145" t="s">
        <v>144</v>
      </c>
      <c r="E34" s="199">
        <v>51</v>
      </c>
      <c r="F34" s="146"/>
      <c r="G34" s="147">
        <f>IF(F34="V",E34,"")</f>
      </c>
    </row>
    <row r="35" spans="1:7" ht="27.75" customHeight="1" thickBot="1">
      <c r="A35" s="230"/>
      <c r="B35" s="143" t="s">
        <v>61</v>
      </c>
      <c r="C35" s="144" t="s">
        <v>110</v>
      </c>
      <c r="D35" s="145" t="s">
        <v>145</v>
      </c>
      <c r="E35" s="200">
        <v>42</v>
      </c>
      <c r="F35" s="148"/>
      <c r="G35" s="149">
        <f>IF(F35="V",E35,"")</f>
      </c>
    </row>
    <row r="36" spans="1:7" ht="44.25" customHeight="1" thickBot="1">
      <c r="A36" s="231"/>
      <c r="B36" s="143" t="s">
        <v>62</v>
      </c>
      <c r="C36" s="144" t="s">
        <v>191</v>
      </c>
      <c r="D36" s="145" t="s">
        <v>112</v>
      </c>
      <c r="E36" s="201">
        <v>7</v>
      </c>
      <c r="F36" s="150"/>
      <c r="G36" s="151">
        <f>IF(F36="V",E36,"")</f>
      </c>
    </row>
    <row r="37" spans="3:7" ht="16.5" thickBot="1">
      <c r="C37" s="90"/>
      <c r="D37" s="91"/>
      <c r="E37" s="192"/>
      <c r="F37" s="4"/>
      <c r="G37" s="152">
        <f>SUM(G34:G36)</f>
        <v>0</v>
      </c>
    </row>
    <row r="38" spans="3:4" ht="16.5" thickBot="1">
      <c r="C38" s="237" t="s">
        <v>146</v>
      </c>
      <c r="D38" s="238"/>
    </row>
    <row r="39" spans="1:7" ht="16.5" customHeight="1" thickBot="1">
      <c r="A39" s="232" t="s">
        <v>146</v>
      </c>
      <c r="B39" s="153" t="s">
        <v>63</v>
      </c>
      <c r="C39" s="154" t="s">
        <v>11</v>
      </c>
      <c r="D39" s="155" t="s">
        <v>14</v>
      </c>
      <c r="E39" s="202">
        <v>1.4</v>
      </c>
      <c r="F39" s="156"/>
      <c r="G39" s="157">
        <f aca="true" t="shared" si="2" ref="G39:G54">IF(F39="V",E39,"")</f>
      </c>
    </row>
    <row r="40" spans="1:7" ht="36.75" thickBot="1">
      <c r="A40" s="233"/>
      <c r="B40" s="153" t="s">
        <v>64</v>
      </c>
      <c r="C40" s="154" t="s">
        <v>192</v>
      </c>
      <c r="D40" s="155" t="s">
        <v>147</v>
      </c>
      <c r="E40" s="203">
        <v>8.6</v>
      </c>
      <c r="F40" s="158"/>
      <c r="G40" s="159">
        <f t="shared" si="2"/>
      </c>
    </row>
    <row r="41" spans="1:7" ht="24.75" thickBot="1">
      <c r="A41" s="233"/>
      <c r="B41" s="153" t="s">
        <v>65</v>
      </c>
      <c r="C41" s="154" t="s">
        <v>193</v>
      </c>
      <c r="D41" s="155" t="s">
        <v>148</v>
      </c>
      <c r="E41" s="203">
        <v>5.6</v>
      </c>
      <c r="F41" s="158"/>
      <c r="G41" s="159">
        <f t="shared" si="2"/>
      </c>
    </row>
    <row r="42" spans="1:7" ht="36.75" thickBot="1">
      <c r="A42" s="233"/>
      <c r="B42" s="153" t="s">
        <v>66</v>
      </c>
      <c r="C42" s="154" t="s">
        <v>194</v>
      </c>
      <c r="D42" s="155" t="s">
        <v>149</v>
      </c>
      <c r="E42" s="203">
        <v>2.8</v>
      </c>
      <c r="F42" s="158"/>
      <c r="G42" s="159">
        <f t="shared" si="2"/>
      </c>
    </row>
    <row r="43" spans="1:7" ht="16.5" customHeight="1" thickBot="1">
      <c r="A43" s="233"/>
      <c r="B43" s="153" t="s">
        <v>67</v>
      </c>
      <c r="C43" s="154" t="s">
        <v>7</v>
      </c>
      <c r="D43" s="155" t="s">
        <v>150</v>
      </c>
      <c r="E43" s="203">
        <v>7.4</v>
      </c>
      <c r="F43" s="158"/>
      <c r="G43" s="159">
        <f t="shared" si="2"/>
      </c>
    </row>
    <row r="44" spans="1:7" ht="16.5" customHeight="1" thickBot="1">
      <c r="A44" s="233"/>
      <c r="B44" s="160" t="s">
        <v>68</v>
      </c>
      <c r="C44" s="154" t="s">
        <v>10</v>
      </c>
      <c r="D44" s="155" t="s">
        <v>151</v>
      </c>
      <c r="E44" s="203">
        <v>5.9</v>
      </c>
      <c r="F44" s="158"/>
      <c r="G44" s="159">
        <f t="shared" si="2"/>
      </c>
    </row>
    <row r="45" spans="1:7" ht="36.75" thickBot="1">
      <c r="A45" s="233"/>
      <c r="B45" s="153" t="s">
        <v>69</v>
      </c>
      <c r="C45" s="154" t="s">
        <v>4</v>
      </c>
      <c r="D45" s="155" t="s">
        <v>152</v>
      </c>
      <c r="E45" s="203">
        <v>7.3</v>
      </c>
      <c r="F45" s="158"/>
      <c r="G45" s="159">
        <f t="shared" si="2"/>
      </c>
    </row>
    <row r="46" spans="1:7" ht="16.5" customHeight="1" thickBot="1">
      <c r="A46" s="233"/>
      <c r="B46" s="160" t="s">
        <v>70</v>
      </c>
      <c r="C46" s="154" t="s">
        <v>3</v>
      </c>
      <c r="D46" s="155" t="s">
        <v>15</v>
      </c>
      <c r="E46" s="203">
        <v>14.4</v>
      </c>
      <c r="F46" s="158"/>
      <c r="G46" s="159">
        <f t="shared" si="2"/>
      </c>
    </row>
    <row r="47" spans="1:7" ht="24.75" thickBot="1">
      <c r="A47" s="233"/>
      <c r="B47" s="153" t="s">
        <v>71</v>
      </c>
      <c r="C47" s="154" t="s">
        <v>5</v>
      </c>
      <c r="D47" s="155" t="s">
        <v>153</v>
      </c>
      <c r="E47" s="203">
        <v>7.3</v>
      </c>
      <c r="F47" s="158"/>
      <c r="G47" s="159">
        <f t="shared" si="2"/>
      </c>
    </row>
    <row r="48" spans="1:7" ht="24.75" thickBot="1">
      <c r="A48" s="233"/>
      <c r="B48" s="153" t="s">
        <v>72</v>
      </c>
      <c r="C48" s="154" t="s">
        <v>195</v>
      </c>
      <c r="D48" s="155" t="s">
        <v>154</v>
      </c>
      <c r="E48" s="203">
        <v>7.3</v>
      </c>
      <c r="F48" s="158"/>
      <c r="G48" s="159">
        <f t="shared" si="2"/>
      </c>
    </row>
    <row r="49" spans="1:7" ht="24.75" thickBot="1">
      <c r="A49" s="233"/>
      <c r="B49" s="153" t="s">
        <v>73</v>
      </c>
      <c r="C49" s="154" t="s">
        <v>196</v>
      </c>
      <c r="D49" s="155" t="s">
        <v>155</v>
      </c>
      <c r="E49" s="203">
        <v>2.9</v>
      </c>
      <c r="F49" s="158"/>
      <c r="G49" s="159">
        <f t="shared" si="2"/>
      </c>
    </row>
    <row r="50" spans="1:7" ht="36.75" thickBot="1">
      <c r="A50" s="233"/>
      <c r="B50" s="153" t="s">
        <v>74</v>
      </c>
      <c r="C50" s="154" t="s">
        <v>197</v>
      </c>
      <c r="D50" s="155" t="s">
        <v>156</v>
      </c>
      <c r="E50" s="203">
        <v>8.8</v>
      </c>
      <c r="F50" s="158"/>
      <c r="G50" s="159">
        <f t="shared" si="2"/>
      </c>
    </row>
    <row r="51" spans="1:7" ht="24.75" thickBot="1">
      <c r="A51" s="233"/>
      <c r="B51" s="153" t="s">
        <v>75</v>
      </c>
      <c r="C51" s="154" t="s">
        <v>198</v>
      </c>
      <c r="D51" s="155" t="s">
        <v>157</v>
      </c>
      <c r="E51" s="203">
        <v>8.8</v>
      </c>
      <c r="F51" s="158"/>
      <c r="G51" s="159">
        <f t="shared" si="2"/>
      </c>
    </row>
    <row r="52" spans="1:7" ht="36.75" thickBot="1">
      <c r="A52" s="233"/>
      <c r="B52" s="153" t="s">
        <v>76</v>
      </c>
      <c r="C52" s="154" t="s">
        <v>6</v>
      </c>
      <c r="D52" s="155" t="s">
        <v>158</v>
      </c>
      <c r="E52" s="203">
        <v>2.8</v>
      </c>
      <c r="F52" s="158"/>
      <c r="G52" s="159">
        <f t="shared" si="2"/>
      </c>
    </row>
    <row r="53" spans="1:7" ht="24.75" thickBot="1">
      <c r="A53" s="233"/>
      <c r="B53" s="153" t="s">
        <v>77</v>
      </c>
      <c r="C53" s="154" t="s">
        <v>8</v>
      </c>
      <c r="D53" s="155" t="s">
        <v>159</v>
      </c>
      <c r="E53" s="203">
        <v>4.5</v>
      </c>
      <c r="F53" s="158"/>
      <c r="G53" s="159">
        <f t="shared" si="2"/>
      </c>
    </row>
    <row r="54" spans="1:7" ht="36.75" thickBot="1">
      <c r="A54" s="234"/>
      <c r="B54" s="153" t="s">
        <v>114</v>
      </c>
      <c r="C54" s="154" t="s">
        <v>199</v>
      </c>
      <c r="D54" s="155" t="s">
        <v>160</v>
      </c>
      <c r="E54" s="204">
        <v>4.2</v>
      </c>
      <c r="F54" s="161"/>
      <c r="G54" s="162">
        <f t="shared" si="2"/>
      </c>
    </row>
    <row r="55" spans="3:7" ht="16.5" thickBot="1">
      <c r="C55" s="90"/>
      <c r="D55" s="91"/>
      <c r="E55" s="192"/>
      <c r="F55" s="2"/>
      <c r="G55" s="163">
        <f>SUM(G39:G54)</f>
        <v>0</v>
      </c>
    </row>
    <row r="56" spans="3:4" ht="16.5" thickBot="1">
      <c r="C56" s="237" t="s">
        <v>161</v>
      </c>
      <c r="D56" s="238"/>
    </row>
    <row r="57" spans="1:7" ht="15.75" thickBot="1">
      <c r="A57" s="251" t="s">
        <v>173</v>
      </c>
      <c r="B57" s="164" t="s">
        <v>78</v>
      </c>
      <c r="C57" s="165" t="s">
        <v>200</v>
      </c>
      <c r="D57" s="166" t="s">
        <v>162</v>
      </c>
      <c r="E57" s="205">
        <v>50</v>
      </c>
      <c r="F57" s="167"/>
      <c r="G57" s="168">
        <f>IF(F57="V",E57,"")</f>
      </c>
    </row>
    <row r="58" spans="1:7" ht="24.75" thickBot="1">
      <c r="A58" s="252"/>
      <c r="B58" s="164" t="s">
        <v>79</v>
      </c>
      <c r="C58" s="165" t="s">
        <v>111</v>
      </c>
      <c r="D58" s="166" t="s">
        <v>163</v>
      </c>
      <c r="E58" s="206">
        <v>50</v>
      </c>
      <c r="F58" s="169"/>
      <c r="G58" s="170">
        <f>IF(F58="V",E58,"")</f>
      </c>
    </row>
    <row r="59" spans="3:7" ht="16.5" thickBot="1">
      <c r="C59" s="90"/>
      <c r="D59" s="91"/>
      <c r="E59" s="192"/>
      <c r="F59" s="4"/>
      <c r="G59" s="171">
        <f>SUM(G57:G58)</f>
        <v>0</v>
      </c>
    </row>
    <row r="60" spans="3:4" ht="30" customHeight="1" thickBot="1">
      <c r="C60" s="237" t="s">
        <v>164</v>
      </c>
      <c r="D60" s="238"/>
    </row>
    <row r="61" spans="1:7" ht="24.75" thickBot="1">
      <c r="A61" s="253" t="s">
        <v>164</v>
      </c>
      <c r="B61" s="172" t="s">
        <v>80</v>
      </c>
      <c r="C61" s="173" t="s">
        <v>113</v>
      </c>
      <c r="D61" s="174" t="s">
        <v>165</v>
      </c>
      <c r="E61" s="207">
        <v>30</v>
      </c>
      <c r="F61" s="175"/>
      <c r="G61" s="176">
        <f aca="true" t="shared" si="3" ref="G61:G68">IF(F61="V",E61,"")</f>
      </c>
    </row>
    <row r="62" spans="1:7" ht="36.75" thickBot="1">
      <c r="A62" s="254"/>
      <c r="B62" s="172" t="s">
        <v>81</v>
      </c>
      <c r="C62" s="173" t="s">
        <v>201</v>
      </c>
      <c r="D62" s="177" t="s">
        <v>166</v>
      </c>
      <c r="E62" s="208">
        <v>6.5</v>
      </c>
      <c r="F62" s="178"/>
      <c r="G62" s="179">
        <f t="shared" si="3"/>
      </c>
    </row>
    <row r="63" spans="1:7" ht="36.75" thickBot="1">
      <c r="A63" s="254"/>
      <c r="B63" s="172" t="s">
        <v>82</v>
      </c>
      <c r="C63" s="173" t="s">
        <v>16</v>
      </c>
      <c r="D63" s="177" t="s">
        <v>17</v>
      </c>
      <c r="E63" s="208">
        <v>12.5</v>
      </c>
      <c r="F63" s="178"/>
      <c r="G63" s="179">
        <f t="shared" si="3"/>
      </c>
    </row>
    <row r="64" spans="1:7" ht="24.75" thickBot="1">
      <c r="A64" s="254"/>
      <c r="B64" s="172" t="s">
        <v>83</v>
      </c>
      <c r="C64" s="173" t="s">
        <v>202</v>
      </c>
      <c r="D64" s="174" t="s">
        <v>167</v>
      </c>
      <c r="E64" s="208">
        <v>9</v>
      </c>
      <c r="F64" s="178"/>
      <c r="G64" s="179">
        <f t="shared" si="3"/>
      </c>
    </row>
    <row r="65" spans="1:7" ht="24.75" thickBot="1">
      <c r="A65" s="254"/>
      <c r="B65" s="172" t="s">
        <v>84</v>
      </c>
      <c r="C65" s="173" t="s">
        <v>203</v>
      </c>
      <c r="D65" s="177" t="s">
        <v>168</v>
      </c>
      <c r="E65" s="208">
        <v>18</v>
      </c>
      <c r="F65" s="178"/>
      <c r="G65" s="179">
        <f t="shared" si="3"/>
      </c>
    </row>
    <row r="66" spans="1:7" ht="36.75" thickBot="1">
      <c r="A66" s="254"/>
      <c r="B66" s="172" t="s">
        <v>85</v>
      </c>
      <c r="C66" s="173" t="s">
        <v>9</v>
      </c>
      <c r="D66" s="177" t="s">
        <v>169</v>
      </c>
      <c r="E66" s="208">
        <v>5</v>
      </c>
      <c r="F66" s="178"/>
      <c r="G66" s="179">
        <f t="shared" si="3"/>
      </c>
    </row>
    <row r="67" spans="1:7" ht="16.5" customHeight="1" thickBot="1">
      <c r="A67" s="254"/>
      <c r="B67" s="172" t="s">
        <v>86</v>
      </c>
      <c r="C67" s="173" t="s">
        <v>204</v>
      </c>
      <c r="D67" s="174" t="s">
        <v>170</v>
      </c>
      <c r="E67" s="208">
        <v>7.5</v>
      </c>
      <c r="F67" s="180"/>
      <c r="G67" s="179">
        <f t="shared" si="3"/>
      </c>
    </row>
    <row r="68" spans="1:7" ht="24.75" thickBot="1">
      <c r="A68" s="255"/>
      <c r="B68" s="172" t="s">
        <v>87</v>
      </c>
      <c r="C68" s="173" t="s">
        <v>205</v>
      </c>
      <c r="D68" s="174" t="s">
        <v>171</v>
      </c>
      <c r="E68" s="209">
        <v>11.5</v>
      </c>
      <c r="F68" s="214"/>
      <c r="G68" s="181">
        <f t="shared" si="3"/>
      </c>
    </row>
    <row r="69" spans="3:7" ht="16.5" thickBot="1">
      <c r="C69" s="90"/>
      <c r="D69" s="91"/>
      <c r="E69" s="192"/>
      <c r="F69" s="4"/>
      <c r="G69" s="182">
        <f>SUM(G61:G68)</f>
        <v>0</v>
      </c>
    </row>
    <row r="71" spans="6:7" ht="16.5" thickBot="1">
      <c r="F71" s="212"/>
      <c r="G71" s="213"/>
    </row>
    <row r="72" spans="6:7" ht="16.5" thickBot="1">
      <c r="F72" s="211" t="s">
        <v>207</v>
      </c>
      <c r="G72" s="210">
        <f>SUM(G12+G17+G27+G32+G37+G55+G59+G69)</f>
        <v>0</v>
      </c>
    </row>
    <row r="73" spans="6:7" ht="15.75">
      <c r="F73" s="212"/>
      <c r="G73" s="213"/>
    </row>
    <row r="74" spans="6:7" ht="15.75">
      <c r="F74" s="212"/>
      <c r="G74" s="213"/>
    </row>
  </sheetData>
  <sheetProtection/>
  <mergeCells count="18">
    <mergeCell ref="A57:A58"/>
    <mergeCell ref="A61:A68"/>
    <mergeCell ref="F1:G2"/>
    <mergeCell ref="A1:D1"/>
    <mergeCell ref="C28:D28"/>
    <mergeCell ref="C33:D33"/>
    <mergeCell ref="C38:D38"/>
    <mergeCell ref="C56:D56"/>
    <mergeCell ref="C60:D60"/>
    <mergeCell ref="B2:C2"/>
    <mergeCell ref="A34:A36"/>
    <mergeCell ref="A39:A54"/>
    <mergeCell ref="C13:D13"/>
    <mergeCell ref="C18:D18"/>
    <mergeCell ref="A3:A11"/>
    <mergeCell ref="A14:A16"/>
    <mergeCell ref="A19:A26"/>
    <mergeCell ref="A29:A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="70" zoomScaleNormal="70" zoomScalePageLayoutView="0" workbookViewId="0" topLeftCell="A1">
      <selection activeCell="G4" sqref="G4"/>
    </sheetView>
  </sheetViews>
  <sheetFormatPr defaultColWidth="9.140625" defaultRowHeight="12.75"/>
  <cols>
    <col min="1" max="1" width="37.140625" style="37" customWidth="1"/>
    <col min="2" max="2" width="10.7109375" style="0" bestFit="1" customWidth="1"/>
    <col min="3" max="9" width="21.00390625" style="0" customWidth="1"/>
    <col min="10" max="10" width="17.28125" style="0" customWidth="1"/>
    <col min="11" max="11" width="25.421875" style="0" customWidth="1"/>
    <col min="12" max="12" width="15.28125" style="0" bestFit="1" customWidth="1"/>
    <col min="14" max="14" width="13.8515625" style="0" bestFit="1" customWidth="1"/>
    <col min="21" max="21" width="10.140625" style="0" customWidth="1"/>
    <col min="27" max="27" width="14.57421875" style="0" customWidth="1"/>
    <col min="29" max="29" width="15.8515625" style="0" bestFit="1" customWidth="1"/>
  </cols>
  <sheetData>
    <row r="1" spans="1:28" ht="18" customHeight="1">
      <c r="A1" s="31" t="s">
        <v>32</v>
      </c>
      <c r="B1" s="28" t="s">
        <v>31</v>
      </c>
      <c r="C1" s="297" t="s">
        <v>18</v>
      </c>
      <c r="D1" s="297" t="s">
        <v>19</v>
      </c>
      <c r="E1" s="299" t="s">
        <v>20</v>
      </c>
      <c r="F1" s="299" t="s">
        <v>21</v>
      </c>
      <c r="G1" s="313" t="s">
        <v>89</v>
      </c>
      <c r="H1" s="317" t="s">
        <v>91</v>
      </c>
      <c r="I1" s="331" t="s">
        <v>90</v>
      </c>
      <c r="K1" s="281" t="s">
        <v>36</v>
      </c>
      <c r="W1" s="1"/>
      <c r="X1" s="1"/>
      <c r="Y1" s="268" t="s">
        <v>33</v>
      </c>
      <c r="Z1" s="268"/>
      <c r="AA1" s="268"/>
      <c r="AB1" s="1"/>
    </row>
    <row r="2" spans="1:28" ht="18.75" thickBot="1">
      <c r="A2" s="32" t="s">
        <v>35</v>
      </c>
      <c r="B2" s="29">
        <v>100</v>
      </c>
      <c r="C2" s="298"/>
      <c r="D2" s="298"/>
      <c r="E2" s="300"/>
      <c r="F2" s="300"/>
      <c r="G2" s="314"/>
      <c r="H2" s="318"/>
      <c r="I2" s="332"/>
      <c r="K2" s="282"/>
      <c r="W2" s="1"/>
      <c r="X2" s="1"/>
      <c r="Y2" s="268"/>
      <c r="Z2" s="268"/>
      <c r="AA2" s="268"/>
      <c r="AB2" s="1"/>
    </row>
    <row r="3" spans="1:28" s="7" customFormat="1" ht="16.5" thickBot="1">
      <c r="A3" s="33"/>
      <c r="B3" s="11"/>
      <c r="C3" s="11"/>
      <c r="D3" s="11"/>
      <c r="E3" s="11"/>
      <c r="F3" s="11"/>
      <c r="G3" s="11"/>
      <c r="H3" s="11"/>
      <c r="I3" s="11"/>
      <c r="W3" s="2"/>
      <c r="X3" s="2"/>
      <c r="Y3" s="268"/>
      <c r="Z3" s="268"/>
      <c r="AA3" s="268"/>
      <c r="AB3" s="2"/>
    </row>
    <row r="4" spans="1:28" ht="15">
      <c r="A4" s="319" t="s">
        <v>24</v>
      </c>
      <c r="B4" s="321">
        <f>'BIZ - Boxed Solutions'!G12</f>
        <v>0</v>
      </c>
      <c r="C4" s="17">
        <f>IF(B4&gt;D5,"Box 1 is A class","")</f>
      </c>
      <c r="D4" s="17">
        <f>IF(B4&gt;D5,"Box 1 is A class",IF(B4&gt;E5,"Box 1 is B class",""))</f>
      </c>
      <c r="E4" s="18">
        <f>IF(B4&gt;D5,"Box 1 is A class",IF(B4&gt;E5,"Box 1 is B class",IF(B4&gt;F5,"Box 1 is C class","")))</f>
      </c>
      <c r="F4" s="18">
        <f>IF(B4&gt;D5,"Box 1 is A class",IF(B4&gt;E5,"Box 1 is B class",IF(B4&gt;F5,"Box 1 is C class",IF(B4&gt;G5,"Box 1 is D class",""))))</f>
      </c>
      <c r="G4" s="19">
        <f>IF(B4&gt;D5,"Box 1 is A class",IF(B4&gt;E5,"Box 1 is B class",IF(B4&gt;F5,"Box 1 is C class",IF(B4&gt;G5,"Box 1 is D class",IF(B4&gt;H5,"Box 1 is E class","")))))</f>
      </c>
      <c r="H4" s="20">
        <f>IF(B4&gt;D5,"Box 1 is A class",IF(B4&gt;E5,"Box 1 is B class",IF(B4&gt;F5,"Box 1 is C class",IF(B4&gt;G5,"Box 1 is D class",IF(B4&gt;H5,"Box 1 is E class",IF(B4&gt;I5,"Box 1 is F class",""))))))</f>
      </c>
      <c r="I4" s="21" t="str">
        <f>IF(B4&gt;D5,"Box 1 is A class",IF(B4&gt;E5,"Box 1 is B class",IF(B4&gt;F5,"Box 1 is C class",IF(B4&gt;G5,"Box 1 is D class",IF(B4&gt;H5,"Box 1 is E class",IF(B4&gt;I5,"Box 1 is F class",IF(B4&gt;J5,"Box 1 is G class","Box 1 is G class")))))))</f>
        <v>Box 1 is G class</v>
      </c>
      <c r="K4" s="311" t="str">
        <f>I4</f>
        <v>Box 1 is G class</v>
      </c>
      <c r="W4" s="1"/>
      <c r="X4" s="1"/>
      <c r="AB4" s="1"/>
    </row>
    <row r="5" spans="1:31" ht="15.75" thickBot="1">
      <c r="A5" s="320"/>
      <c r="B5" s="322"/>
      <c r="C5" s="22">
        <f aca="true" t="shared" si="0" ref="C5:H5">D5+$AA$7</f>
        <v>100.00000000000001</v>
      </c>
      <c r="D5" s="22">
        <f t="shared" si="0"/>
        <v>85.71428571428572</v>
      </c>
      <c r="E5" s="22">
        <f t="shared" si="0"/>
        <v>71.42857142857143</v>
      </c>
      <c r="F5" s="22">
        <f t="shared" si="0"/>
        <v>57.142857142857146</v>
      </c>
      <c r="G5" s="22">
        <f t="shared" si="0"/>
        <v>42.85714285714286</v>
      </c>
      <c r="H5" s="22">
        <f t="shared" si="0"/>
        <v>28.571428571428573</v>
      </c>
      <c r="I5" s="22">
        <f>0+$AA$7</f>
        <v>14.285714285714286</v>
      </c>
      <c r="K5" s="312"/>
      <c r="W5" s="1"/>
      <c r="X5" s="1"/>
      <c r="Y5" s="267" t="s">
        <v>94</v>
      </c>
      <c r="Z5" s="39" t="s">
        <v>22</v>
      </c>
      <c r="AA5" s="40">
        <f>MAX(B2)</f>
        <v>100</v>
      </c>
      <c r="AB5" s="1"/>
      <c r="AC5" s="8"/>
      <c r="AD5" s="43"/>
      <c r="AE5" s="44"/>
    </row>
    <row r="6" spans="1:31" s="7" customFormat="1" ht="16.5" thickBot="1">
      <c r="A6" s="33"/>
      <c r="B6" s="12"/>
      <c r="C6" s="13"/>
      <c r="D6" s="13"/>
      <c r="E6" s="13"/>
      <c r="F6" s="13"/>
      <c r="G6" s="13"/>
      <c r="H6" s="13"/>
      <c r="I6" s="13"/>
      <c r="K6" s="30"/>
      <c r="W6" s="2"/>
      <c r="X6" s="2"/>
      <c r="Y6" s="267"/>
      <c r="Z6" s="39" t="s">
        <v>23</v>
      </c>
      <c r="AA6" s="39">
        <v>7</v>
      </c>
      <c r="AB6" s="2"/>
      <c r="AC6" s="14"/>
      <c r="AD6" s="15"/>
      <c r="AE6" s="16"/>
    </row>
    <row r="7" spans="1:28" ht="15">
      <c r="A7" s="307" t="s">
        <v>27</v>
      </c>
      <c r="B7" s="327">
        <f>'BIZ - Boxed Solutions'!G17</f>
        <v>0</v>
      </c>
      <c r="C7" s="17">
        <f>IF(B7&gt;D8,"Box 2 is A class","")</f>
      </c>
      <c r="D7" s="17">
        <f>IF(B7&gt;D8,"Box 2 is A class",IF(B7&gt;E8,"Box 2 is B class",""))</f>
      </c>
      <c r="E7" s="18">
        <f>IF(B7&gt;D8,"Box 2 is A class",IF(B7&gt;E8,"Box 2 is B class",IF(B7&gt;F8,"Box 2 is C class","")))</f>
      </c>
      <c r="F7" s="18">
        <f>IF(B7&gt;D8,"Box 2 is A class",IF(B7&gt;E8,"Box 2 is B class",IF(B7&gt;F8,"Box 2 is C class",IF(B7&gt;G8,"Box 2 is D class",""))))</f>
      </c>
      <c r="G7" s="19">
        <f>IF(B7&gt;D8,"Box 2 is A class",IF(B7&gt;E8,"Box 2 is B class",IF(B7&gt;F8,"Box 2 is C class",IF(B7&gt;G8,"Box 2 is D class",IF(B7&gt;H8,"Box 2 is E class","")))))</f>
      </c>
      <c r="H7" s="20">
        <f>IF(B7&gt;D8,"Box 2 is A class",IF(B7&gt;E8,"Box 2 is B class",IF(B7&gt;F8,"Box 2 is C class",IF(B7&gt;G8,"Box 2 is D class",IF(B7&gt;H8,"Box 2 is E class",IF(B7&gt;I8,"Box 2 is F class",""))))))</f>
      </c>
      <c r="I7" s="21" t="str">
        <f>IF(B7&gt;D8,"Box 2 is A class",IF(B7&gt;E8,"Box 2 is B class",IF(B7&gt;F8,"Box 2 is C class",IF(B7&gt;G8,"Box 2 is D class",IF(B7&gt;H8,"Box 2 is E class",IF(B7&gt;I8,"Box 2 is F class",IF(B7&gt;J8,"Box 2 is G class","Box 2 is G class")))))))</f>
        <v>Box 2 is G class</v>
      </c>
      <c r="K7" s="279" t="str">
        <f>I7</f>
        <v>Box 2 is G class</v>
      </c>
      <c r="W7" s="1"/>
      <c r="X7" s="1"/>
      <c r="Y7" s="267"/>
      <c r="Z7" s="41" t="s">
        <v>93</v>
      </c>
      <c r="AA7" s="45">
        <f>AA5/AA6</f>
        <v>14.285714285714286</v>
      </c>
      <c r="AB7" s="1"/>
    </row>
    <row r="8" spans="1:28" ht="15.75" thickBot="1">
      <c r="A8" s="308"/>
      <c r="B8" s="328"/>
      <c r="C8" s="22">
        <f aca="true" t="shared" si="1" ref="C8:H8">D8+$AA$7</f>
        <v>100.00000000000001</v>
      </c>
      <c r="D8" s="22">
        <f t="shared" si="1"/>
        <v>85.71428571428572</v>
      </c>
      <c r="E8" s="22">
        <f t="shared" si="1"/>
        <v>71.42857142857143</v>
      </c>
      <c r="F8" s="22">
        <f t="shared" si="1"/>
        <v>57.142857142857146</v>
      </c>
      <c r="G8" s="22">
        <f t="shared" si="1"/>
        <v>42.85714285714286</v>
      </c>
      <c r="H8" s="22">
        <f t="shared" si="1"/>
        <v>28.571428571428573</v>
      </c>
      <c r="I8" s="22">
        <f>0+$AA$7</f>
        <v>14.285714285714286</v>
      </c>
      <c r="J8" s="1"/>
      <c r="K8" s="28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B8" s="1"/>
    </row>
    <row r="9" spans="1:28" s="7" customFormat="1" ht="16.5" thickBot="1">
      <c r="A9" s="33"/>
      <c r="B9" s="12"/>
      <c r="C9" s="13"/>
      <c r="D9" s="13"/>
      <c r="E9" s="13"/>
      <c r="F9" s="13"/>
      <c r="G9" s="13"/>
      <c r="H9" s="13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8" t="s">
        <v>95</v>
      </c>
      <c r="Z9" s="57">
        <v>708</v>
      </c>
      <c r="AA9" s="58">
        <v>799</v>
      </c>
      <c r="AB9" s="2"/>
    </row>
    <row r="10" spans="1:31" ht="15">
      <c r="A10" s="307" t="s">
        <v>92</v>
      </c>
      <c r="B10" s="327">
        <f>'BIZ - Boxed Solutions'!G27</f>
        <v>0</v>
      </c>
      <c r="C10" s="17">
        <f>IF(B10&gt;D11,"Box 3 is A class","")</f>
      </c>
      <c r="D10" s="17">
        <f>IF(B10&gt;D11,"Box 3 is A class",IF(B10&gt;E11,"Box 3 is B class",""))</f>
      </c>
      <c r="E10" s="18">
        <f>IF(B10&gt;D11,"Box 3 is A class",IF(B10&gt;E11,"Box 3 is B class",IF(B10&gt;F11,"Box 3 is C class","")))</f>
      </c>
      <c r="F10" s="18">
        <f>IF(B10&gt;D11,"Box 3 is A class",IF(B10&gt;E11,"Box 3 is B class",IF(B10&gt;F11,"Box 3 is C class",IF(B10&gt;G11,"Box 3 is D class",""))))</f>
      </c>
      <c r="G10" s="19">
        <f>IF(B10&gt;D11,"Box 3 is A class",IF(B10&gt;E11,"Box 3 is B class",IF(B10&gt;F11,"Box 3 is C class",IF(B10&gt;G11,"Box 3 is D class",IF(B10&gt;H11,"Box 3 is E class","")))))</f>
      </c>
      <c r="H10" s="20">
        <f>IF(B10&gt;D11,"Box 3 is A class",IF(B10&gt;E11,"Box 3 is B class",IF(B10&gt;F11,"Box 3 is C class",IF(B10&gt;G11,"Box 3 is D class",IF(B10&gt;H11,"Box 3 is E class",IF(B10&gt;I11,"Box 3 is F class",""))))))</f>
      </c>
      <c r="I10" s="21" t="str">
        <f>IF(B10&gt;D11,"Box 3 is A class",IF(B10&gt;E11,"Box 3 is B class",IF(B10&gt;F11,"Box 3 is C class",IF(B10&gt;G11,"Box 3 is D class",IF(B10&gt;H11,"Box 3 is E class",IF(B10&gt;I11,"Box 3 is F class",IF(B10&gt;J11,"Box 3 is G class","Box 3 is G class")))))))</f>
        <v>Box 3 is G class</v>
      </c>
      <c r="J10" s="1"/>
      <c r="K10" s="269" t="str">
        <f>I10</f>
        <v>Box 3 is G class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9" t="s">
        <v>96</v>
      </c>
      <c r="Z10" s="59">
        <v>616</v>
      </c>
      <c r="AA10" s="60">
        <v>707</v>
      </c>
      <c r="AB10" s="1"/>
      <c r="AC10" s="42"/>
      <c r="AD10" s="43"/>
      <c r="AE10" s="43"/>
    </row>
    <row r="11" spans="1:31" ht="15.75" thickBot="1">
      <c r="A11" s="308"/>
      <c r="B11" s="328"/>
      <c r="C11" s="22">
        <f aca="true" t="shared" si="2" ref="C11:H11">D11+$AA$7</f>
        <v>100.00000000000001</v>
      </c>
      <c r="D11" s="22">
        <f t="shared" si="2"/>
        <v>85.71428571428572</v>
      </c>
      <c r="E11" s="22">
        <f t="shared" si="2"/>
        <v>71.42857142857143</v>
      </c>
      <c r="F11" s="22">
        <f t="shared" si="2"/>
        <v>57.142857142857146</v>
      </c>
      <c r="G11" s="22">
        <f t="shared" si="2"/>
        <v>42.85714285714286</v>
      </c>
      <c r="H11" s="22">
        <f t="shared" si="2"/>
        <v>28.571428571428573</v>
      </c>
      <c r="I11" s="22">
        <f>0+$AA$7</f>
        <v>14.285714285714286</v>
      </c>
      <c r="J11" s="1"/>
      <c r="K11" s="27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9" t="s">
        <v>97</v>
      </c>
      <c r="Z11" s="59">
        <v>524</v>
      </c>
      <c r="AA11" s="60">
        <v>615</v>
      </c>
      <c r="AB11" s="1"/>
      <c r="AC11" s="8"/>
      <c r="AD11" s="43"/>
      <c r="AE11" s="24"/>
    </row>
    <row r="12" spans="1:31" s="7" customFormat="1" ht="16.5" thickBot="1">
      <c r="A12" s="33"/>
      <c r="B12" s="12"/>
      <c r="C12" s="13"/>
      <c r="D12" s="13"/>
      <c r="E12" s="13"/>
      <c r="F12" s="13"/>
      <c r="G12" s="13"/>
      <c r="H12" s="13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50" t="s">
        <v>18</v>
      </c>
      <c r="Z12" s="61">
        <v>400</v>
      </c>
      <c r="AA12" s="62">
        <v>524</v>
      </c>
      <c r="AB12" s="2"/>
      <c r="AC12" s="14"/>
      <c r="AD12" s="15"/>
      <c r="AE12" s="25"/>
    </row>
    <row r="13" spans="1:31" ht="15.75" thickBot="1">
      <c r="A13" s="309" t="s">
        <v>28</v>
      </c>
      <c r="B13" s="333">
        <f>'BIZ - Boxed Solutions'!G32</f>
        <v>0</v>
      </c>
      <c r="C13" s="17">
        <f>IF(B13&gt;D14,"Box 4 is A class","")</f>
      </c>
      <c r="D13" s="17">
        <f>IF(B13&gt;D14,"Box 4 is A class",IF(B13&gt;E14,"Box 4 is B class",""))</f>
      </c>
      <c r="E13" s="18">
        <f>IF(B13&gt;D14,"Box 4 is A class",IF(B13&gt;E14,"Box 4 is B class",IF(B13&gt;F14,"Box 4 is C class","")))</f>
      </c>
      <c r="F13" s="18">
        <f>IF(B13&gt;D14,"Box 4 is A class",IF(B13&gt;E14,"Box 4 is B class",IF(B13&gt;F14,"Box 4 is C class",IF(B13&gt;G14,"Box 4 is D class",""))))</f>
      </c>
      <c r="G13" s="19">
        <f>IF(B13&gt;D14,"Box 4 is A class",IF(B13&gt;E14,"Box 4 is B class",IF(B13&gt;F14,"Box 4 is C class",IF(B13&gt;G14,"Box 4 is D class",IF(B13&gt;H14,"Box 4 is E class","")))))</f>
      </c>
      <c r="H13" s="20">
        <f>IF(B13&gt;D14,"Box 4 is A class",IF(B13&gt;E14,"Box 4 is B class",IF(B13&gt;F14,"Box 4 is C class",IF(B13&gt;G14,"Box 4 is D class",IF(B13&gt;H14,"Box 4 is E class",IF(B13&gt;I14,"Box 4 is F class",""))))))</f>
      </c>
      <c r="I13" s="21" t="str">
        <f>IF(B13&gt;D14,"Box 4 is A class",IF(B13&gt;E14,"Box 4 is B class",IF(B13&gt;F14,"Box 4 is C class",IF(B13&gt;G14,"Box 4 is D class",IF(B13&gt;H14,"Box 4 is E class",IF(B13&gt;I14,"Box 4 is F class",IF(B13&gt;J14,"Box 4 is G class","Box 4 is G class")))))))</f>
        <v>Box 4 is G class</v>
      </c>
      <c r="J13" s="1"/>
      <c r="K13" s="271" t="str">
        <f>I13</f>
        <v>Box 4 is G class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51" t="s">
        <v>19</v>
      </c>
      <c r="Z13" s="63">
        <v>300</v>
      </c>
      <c r="AA13" s="64">
        <v>399</v>
      </c>
      <c r="AB13" s="1"/>
      <c r="AC13" s="8"/>
      <c r="AD13" s="43"/>
      <c r="AE13" s="24"/>
    </row>
    <row r="14" spans="1:31" ht="15.75" thickBot="1">
      <c r="A14" s="310"/>
      <c r="B14" s="334"/>
      <c r="C14" s="22">
        <f aca="true" t="shared" si="3" ref="C14:H14">D14+$AA$7</f>
        <v>100.00000000000001</v>
      </c>
      <c r="D14" s="22">
        <f t="shared" si="3"/>
        <v>85.71428571428572</v>
      </c>
      <c r="E14" s="22">
        <f t="shared" si="3"/>
        <v>71.42857142857143</v>
      </c>
      <c r="F14" s="22">
        <f t="shared" si="3"/>
        <v>57.142857142857146</v>
      </c>
      <c r="G14" s="22">
        <f t="shared" si="3"/>
        <v>42.85714285714286</v>
      </c>
      <c r="H14" s="22">
        <f t="shared" si="3"/>
        <v>28.571428571428573</v>
      </c>
      <c r="I14" s="22">
        <f>0+$AA$7</f>
        <v>14.285714285714286</v>
      </c>
      <c r="J14" s="1"/>
      <c r="K14" s="27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52" t="s">
        <v>20</v>
      </c>
      <c r="Z14" s="65">
        <v>225</v>
      </c>
      <c r="AA14" s="66">
        <v>299</v>
      </c>
      <c r="AB14" s="1"/>
      <c r="AC14" s="8"/>
      <c r="AD14" s="23"/>
      <c r="AE14" s="23"/>
    </row>
    <row r="15" spans="1:31" s="7" customFormat="1" ht="16.5" thickBot="1">
      <c r="A15" s="33"/>
      <c r="B15" s="12"/>
      <c r="C15" s="13"/>
      <c r="D15" s="13"/>
      <c r="E15" s="13"/>
      <c r="F15" s="13"/>
      <c r="G15" s="13"/>
      <c r="H15" s="13"/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53" t="s">
        <v>21</v>
      </c>
      <c r="Z15" s="67">
        <v>150</v>
      </c>
      <c r="AA15" s="68">
        <v>224</v>
      </c>
      <c r="AB15" s="2"/>
      <c r="AC15" s="14"/>
      <c r="AD15" s="15"/>
      <c r="AE15" s="16"/>
    </row>
    <row r="16" spans="1:31" ht="15">
      <c r="A16" s="335" t="s">
        <v>29</v>
      </c>
      <c r="B16" s="305">
        <f>'BIZ - Boxed Solutions'!G37</f>
        <v>0</v>
      </c>
      <c r="C16" s="17">
        <f>IF(B16&gt;D17,"Box 5 is A class","")</f>
      </c>
      <c r="D16" s="17">
        <f>IF(B16&gt;D17,"Box 5 is A class",IF(B16&gt;E17,"Box 5 is B class",""))</f>
      </c>
      <c r="E16" s="18">
        <f>IF(B16&gt;D17,"Box 5 is A class",IF(B16&gt;E17,"Box 5 is B class",IF(B16&gt;F17,"Box 5 is C class","")))</f>
      </c>
      <c r="F16" s="18">
        <f>IF(B16&gt;D17,"Box 5 is A class",IF(B16&gt;E17,"Box 5 is B class",IF(B16&gt;F17,"Box 5 is C class",IF(B16&gt;G17,"Box 5 is D class",""))))</f>
      </c>
      <c r="G16" s="19">
        <f>IF(B16&gt;D17,"Box 5 is A class",IF(B16&gt;E17,"Box 5 is B class",IF(B16&gt;F17,"Box 5 is C class",IF(B16&gt;G17,"Box 5 is D class",IF(B16&gt;H17,"Box 5 is E class","")))))</f>
      </c>
      <c r="H16" s="20">
        <f>IF(B16&gt;D17,"Box 5 is A class",IF(B16&gt;E17,"Box 5 is B class",IF(B16&gt;F17,"Box 5 is C class",IF(B16&gt;G17,"Box 5 is D class",IF(B16&gt;H17,"Box 5 is E class",IF(B16&gt;I17,"Box 5 is F class",""))))))</f>
      </c>
      <c r="I16" s="21" t="str">
        <f>IF(B16&gt;D17,"Box 5 is A class",IF(B16&gt;E17,"Box 5 is B class",IF(B16&gt;F17,"Box 5 is C class",IF(B16&gt;G17,"Box 5 is D class",IF(B16&gt;H17,"Box 5 is E class",IF(B16&gt;I17,"Box 5 is F class",IF(B16&gt;J17,"Box 5 is G class","Box 5 is G class")))))))</f>
        <v>Box 5 is G class</v>
      </c>
      <c r="J16" s="1"/>
      <c r="K16" s="273" t="str">
        <f>I16</f>
        <v>Box 5 is G class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54" t="s">
        <v>89</v>
      </c>
      <c r="Z16" s="69">
        <v>100</v>
      </c>
      <c r="AA16" s="70">
        <v>149</v>
      </c>
      <c r="AB16" s="1"/>
      <c r="AC16" s="8"/>
      <c r="AD16" s="43"/>
      <c r="AE16" s="44"/>
    </row>
    <row r="17" spans="1:31" ht="15.75" thickBot="1">
      <c r="A17" s="336"/>
      <c r="B17" s="306"/>
      <c r="C17" s="22">
        <f aca="true" t="shared" si="4" ref="C17:H17">D17+$AA$7</f>
        <v>100.00000000000001</v>
      </c>
      <c r="D17" s="22">
        <f t="shared" si="4"/>
        <v>85.71428571428572</v>
      </c>
      <c r="E17" s="22">
        <f t="shared" si="4"/>
        <v>71.42857142857143</v>
      </c>
      <c r="F17" s="22">
        <f t="shared" si="4"/>
        <v>57.142857142857146</v>
      </c>
      <c r="G17" s="22">
        <f t="shared" si="4"/>
        <v>42.85714285714286</v>
      </c>
      <c r="H17" s="22">
        <f t="shared" si="4"/>
        <v>28.571428571428573</v>
      </c>
      <c r="I17" s="22">
        <f>0+$AA$7</f>
        <v>14.285714285714286</v>
      </c>
      <c r="J17" s="1"/>
      <c r="K17" s="27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5" t="s">
        <v>91</v>
      </c>
      <c r="Z17" s="71">
        <v>50</v>
      </c>
      <c r="AA17" s="72">
        <v>99</v>
      </c>
      <c r="AB17" s="1"/>
      <c r="AC17" s="8"/>
      <c r="AD17" s="43"/>
      <c r="AE17" s="44"/>
    </row>
    <row r="18" spans="1:31" s="7" customFormat="1" ht="16.5" thickBot="1">
      <c r="A18" s="33"/>
      <c r="B18" s="12"/>
      <c r="C18" s="13"/>
      <c r="D18" s="13"/>
      <c r="E18" s="13"/>
      <c r="F18" s="13"/>
      <c r="G18" s="13"/>
      <c r="H18" s="13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6" t="s">
        <v>90</v>
      </c>
      <c r="Z18" s="73">
        <v>0</v>
      </c>
      <c r="AA18" s="74">
        <v>49</v>
      </c>
      <c r="AB18" s="2"/>
      <c r="AC18" s="14"/>
      <c r="AD18" s="15"/>
      <c r="AE18" s="16"/>
    </row>
    <row r="19" spans="1:31" ht="15">
      <c r="A19" s="315" t="s">
        <v>88</v>
      </c>
      <c r="B19" s="301">
        <f>'BIZ - Boxed Solutions'!G55</f>
        <v>0</v>
      </c>
      <c r="C19" s="17">
        <f>IF(B19&gt;D20,"Box 6 is A class","")</f>
      </c>
      <c r="D19" s="17">
        <f>IF(B19&gt;D20,"Box 6 is A class",IF(B19&gt;E20,"Box 6 is B class",""))</f>
      </c>
      <c r="E19" s="18">
        <f>IF(B19&gt;D20,"Box 6 is A class",IF(B19&gt;E20,"Box 6 is B class",IF(B19&gt;F20,"Box 6 is C class","")))</f>
      </c>
      <c r="F19" s="18">
        <f>IF(B19&gt;D20,"Box 6 is A class",IF(B19&gt;E20,"Box 6 is B class",IF(B19&gt;F20,"Box 6 is C class",IF(B19&gt;G20,"Box 6 is D class",""))))</f>
      </c>
      <c r="G19" s="19">
        <f>IF(B19&gt;D20,"Box 6 is A class",IF(B19&gt;E20,"Box 6 is B class",IF(B19&gt;F20,"Box 6 is C class",IF(B19&gt;G20,"Box 6 is D class",IF(B19&gt;H20,"Box 6 is E class","")))))</f>
      </c>
      <c r="H19" s="20">
        <f>IF(B19&gt;D20,"Box 6 is A class",IF(B19&gt;E20,"Box 6 is B class",IF(B19&gt;F20,"Box 6 is C class",IF(B19&gt;G20,"Box 6 is D class",IF(B19&gt;H20,"Box 6 is E class",IF(B19&gt;I20,"Box 6 is F class",""))))))</f>
      </c>
      <c r="I19" s="21" t="str">
        <f>IF(B19&gt;D20,"Box 6 is A class",IF(B19&gt;E20,"Box 6 is B class",IF(B19&gt;F20,"Box 6 is C class",IF(B19&gt;G20,"Box 6 is D class",IF(B19&gt;H20,"Box 6 is E class",IF(B19&gt;I20,"Box 6 is F class",IF(B19&gt;J20,"Box 6 is G class","Box 6 is G class")))))))</f>
        <v>Box 6 is G class</v>
      </c>
      <c r="J19" s="1"/>
      <c r="K19" s="275" t="str">
        <f>I19</f>
        <v>Box 6 is G class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5"/>
      <c r="Z19" s="5"/>
      <c r="AA19" s="5"/>
      <c r="AB19" s="1"/>
      <c r="AC19" s="8"/>
      <c r="AD19" s="43"/>
      <c r="AE19" s="44"/>
    </row>
    <row r="20" spans="1:31" ht="15.75" thickBot="1">
      <c r="A20" s="316"/>
      <c r="B20" s="302"/>
      <c r="C20" s="22">
        <f aca="true" t="shared" si="5" ref="C20:H20">D20+$AA$7</f>
        <v>100.00000000000001</v>
      </c>
      <c r="D20" s="22">
        <f t="shared" si="5"/>
        <v>85.71428571428572</v>
      </c>
      <c r="E20" s="22">
        <f t="shared" si="5"/>
        <v>71.42857142857143</v>
      </c>
      <c r="F20" s="22">
        <f t="shared" si="5"/>
        <v>57.142857142857146</v>
      </c>
      <c r="G20" s="22">
        <f t="shared" si="5"/>
        <v>42.85714285714286</v>
      </c>
      <c r="H20" s="22">
        <f t="shared" si="5"/>
        <v>28.571428571428573</v>
      </c>
      <c r="I20" s="22">
        <f>0+$AA$7</f>
        <v>14.285714285714286</v>
      </c>
      <c r="J20" s="1"/>
      <c r="K20" s="27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8"/>
      <c r="AD20" s="43"/>
      <c r="AE20" s="24"/>
    </row>
    <row r="21" spans="1:31" s="7" customFormat="1" ht="16.5" thickBot="1">
      <c r="A21" s="33"/>
      <c r="B21" s="12"/>
      <c r="C21" s="13"/>
      <c r="D21" s="13"/>
      <c r="E21" s="13"/>
      <c r="F21" s="13"/>
      <c r="G21" s="13"/>
      <c r="H21" s="13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4"/>
      <c r="AD21" s="15"/>
      <c r="AE21" s="25"/>
    </row>
    <row r="22" spans="1:27" ht="15">
      <c r="A22" s="303" t="s">
        <v>25</v>
      </c>
      <c r="B22" s="289">
        <f>'BIZ - Boxed Solutions'!G59</f>
        <v>0</v>
      </c>
      <c r="C22" s="17">
        <f>IF(B22&gt;D23,"Box 7 is A class","")</f>
      </c>
      <c r="D22" s="17">
        <f>IF(B22&gt;D23,"Box 7 is A class",IF(B22&gt;E23,"Box 7 is B class",""))</f>
      </c>
      <c r="E22" s="18">
        <f>IF(B22&gt;D23,"Box 7 is A class",IF(B22&gt;E23,"Box 7 is B class",IF(B22&gt;F23,"Box 7 is C class","")))</f>
      </c>
      <c r="F22" s="18">
        <f>IF(B22&gt;D23,"Box 7 is A class",IF(B22&gt;E23,"Box 7 is B class",IF(B22&gt;F23,"Box 7 is C class",IF(B22&gt;G23,"Box 7 is D class",""))))</f>
      </c>
      <c r="G22" s="19">
        <f>IF(B22&gt;D23,"Box 7 is A class",IF(B22&gt;E23,"Box 7 is B class",IF(B22&gt;F23,"Box 7 is C class",IF(B22&gt;G23,"Box 7 is D class",IF(B22&gt;H23,"Box 7 is E class","")))))</f>
      </c>
      <c r="H22" s="20">
        <f>IF(B22&gt;D23,"Box 7 is A class",IF(B22&gt;E23,"Box 7 is B class",IF(B22&gt;F23,"Box 7 is C class",IF(B22&gt;G23,"Box 7 is D class",IF(B22&gt;H23,"Box 7 is E class",IF(B22&gt;I23,"Box 7 is F class",""))))))</f>
      </c>
      <c r="I22" s="21" t="str">
        <f>IF(B22&gt;D23,"Box 7 is A class",IF(B22&gt;E23,"Box 7 is B class",IF(B22&gt;F23,"Box 7 is C class",IF(B22&gt;G23,"Box 7 is D class",IF(B22&gt;H23,"Box 7 is E class",IF(B22&gt;I23,"Box 7 is F class",IF(B22&gt;J23,"Box 7 is G class","Box 7 is G class")))))))</f>
        <v>Box 7 is G class</v>
      </c>
      <c r="J22" s="1"/>
      <c r="K22" s="277" t="str">
        <f>I22</f>
        <v>Box 7 is G class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thickBot="1">
      <c r="A23" s="304"/>
      <c r="B23" s="290"/>
      <c r="C23" s="22">
        <f aca="true" t="shared" si="6" ref="C23:H23">D23+$AA$7</f>
        <v>100.00000000000001</v>
      </c>
      <c r="D23" s="22">
        <f t="shared" si="6"/>
        <v>85.71428571428572</v>
      </c>
      <c r="E23" s="22">
        <f t="shared" si="6"/>
        <v>71.42857142857143</v>
      </c>
      <c r="F23" s="22">
        <f t="shared" si="6"/>
        <v>57.142857142857146</v>
      </c>
      <c r="G23" s="22">
        <f t="shared" si="6"/>
        <v>42.85714285714286</v>
      </c>
      <c r="H23" s="22">
        <f t="shared" si="6"/>
        <v>28.571428571428573</v>
      </c>
      <c r="I23" s="22">
        <f>0+$AA$7</f>
        <v>14.285714285714286</v>
      </c>
      <c r="J23" s="1"/>
      <c r="K23" s="27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7" customFormat="1" ht="16.5" thickBot="1">
      <c r="A24" s="33"/>
      <c r="B24" s="12"/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295" t="s">
        <v>26</v>
      </c>
      <c r="B25" s="287">
        <f>'BIZ - Boxed Solutions'!G69</f>
        <v>0</v>
      </c>
      <c r="C25" s="17">
        <f>IF(B25&gt;D26,"Box 8 is A class","")</f>
      </c>
      <c r="D25" s="17">
        <f>IF(B25&gt;D26,"Box 8 is A class",IF(B25&gt;E26,"Box 8 is B class",""))</f>
      </c>
      <c r="E25" s="18">
        <f>IF(B25&gt;D26,"Box 8 is A class",IF(B25&gt;E26,"Box 8 is B class",IF(B25&gt;F26,"Box 8 is C class","")))</f>
      </c>
      <c r="F25" s="18">
        <f>IF(B25&gt;D26,"Box 8 is A class",IF(B25&gt;E26,"Box 8 is B class",IF(B25&gt;F26,"Box 8 is C class",IF(B25&gt;G26,"Box 8 is D class",""))))</f>
      </c>
      <c r="G25" s="19">
        <f>IF(B25&gt;D26,"Box 8 is A class",IF(B25&gt;E26,"Box 8 is B class",IF(B25&gt;F26,"Box 8 is C class",IF(B25&gt;G26,"Box 8 is D class",IF(B25&gt;H26,"Box 8 is E class","")))))</f>
      </c>
      <c r="H25" s="20">
        <f>IF(B25&gt;D26,"Box 8 is A class",IF(B25&gt;E26,"Box 8 is B class",IF(B25&gt;F26,"Box 8 is C class",IF(B25&gt;G26,"Box 8 is D class",IF(B25&gt;H26,"Box 8 is E class",IF(B25&gt;I26,"Box 8 is F class",""))))))</f>
      </c>
      <c r="I25" s="21" t="str">
        <f>IF(B25&gt;D26,"Box 8 is A class",IF(B25&gt;E26,"Box 8 is B class",IF(B25&gt;F26,"Box 8 is C class",IF(B25&gt;G26,"Box 8 is D class",IF(B25&gt;H26,"Box 8 is E class",IF(B25&gt;I26,"Box 8 is F class",IF(B25&gt;J26,"Box 8 is G class","Box 8 is G class")))))))</f>
        <v>Box 8 is G class</v>
      </c>
      <c r="J25" s="1"/>
      <c r="K25" s="285" t="str">
        <f>I25</f>
        <v>Box 8 is G class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thickBot="1">
      <c r="A26" s="296"/>
      <c r="B26" s="288"/>
      <c r="C26" s="22">
        <f aca="true" t="shared" si="7" ref="C26:H26">D26+$AA$7</f>
        <v>100.00000000000001</v>
      </c>
      <c r="D26" s="22">
        <f t="shared" si="7"/>
        <v>85.71428571428572</v>
      </c>
      <c r="E26" s="22">
        <f t="shared" si="7"/>
        <v>71.42857142857143</v>
      </c>
      <c r="F26" s="22">
        <f t="shared" si="7"/>
        <v>57.142857142857146</v>
      </c>
      <c r="G26" s="22">
        <f t="shared" si="7"/>
        <v>42.85714285714286</v>
      </c>
      <c r="H26" s="22">
        <f t="shared" si="7"/>
        <v>28.571428571428573</v>
      </c>
      <c r="I26" s="22">
        <f>0+$AA$7</f>
        <v>14.285714285714286</v>
      </c>
      <c r="J26" s="1"/>
      <c r="K26" s="28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7" customFormat="1" ht="15.75">
      <c r="A27" s="33"/>
      <c r="B27" s="12"/>
      <c r="C27" s="13"/>
      <c r="D27" s="13"/>
      <c r="E27" s="13"/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23" customFormat="1" ht="15.75">
      <c r="A28" s="33"/>
      <c r="B28" s="12"/>
      <c r="C28" s="13"/>
      <c r="D28" s="13"/>
      <c r="E28" s="13"/>
      <c r="F28" s="13"/>
      <c r="G28" s="13"/>
      <c r="H28" s="13"/>
      <c r="I28" s="1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23" customFormat="1" ht="15.75">
      <c r="A29" s="33"/>
      <c r="B29" s="12"/>
      <c r="C29" s="13"/>
      <c r="D29" s="13"/>
      <c r="E29" s="13"/>
      <c r="F29" s="13"/>
      <c r="G29" s="13"/>
      <c r="H29" s="13"/>
      <c r="I29" s="1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23" customFormat="1" ht="15.75">
      <c r="A30" s="33"/>
      <c r="B30" s="12"/>
      <c r="C30" s="13"/>
      <c r="D30" s="13"/>
      <c r="E30" s="13"/>
      <c r="F30" s="13"/>
      <c r="G30" s="13"/>
      <c r="H30" s="13"/>
      <c r="I30" s="1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23" customFormat="1" ht="16.5" thickBot="1">
      <c r="A31" s="34"/>
      <c r="B31" s="27"/>
      <c r="C31" s="26"/>
      <c r="D31" s="26"/>
      <c r="E31" s="26"/>
      <c r="F31" s="26"/>
      <c r="G31" s="26"/>
      <c r="H31" s="26"/>
      <c r="I31" s="2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>
      <c r="A32" s="35" t="s">
        <v>30</v>
      </c>
      <c r="B32" s="9" t="s">
        <v>34</v>
      </c>
      <c r="C32" s="293" t="s">
        <v>95</v>
      </c>
      <c r="D32" s="293" t="s">
        <v>96</v>
      </c>
      <c r="E32" s="293" t="s">
        <v>97</v>
      </c>
      <c r="F32" s="329" t="s">
        <v>18</v>
      </c>
      <c r="G32" s="299" t="s">
        <v>19</v>
      </c>
      <c r="H32" s="291" t="s">
        <v>20</v>
      </c>
      <c r="I32" s="283" t="s">
        <v>21</v>
      </c>
      <c r="J32" s="265" t="s">
        <v>89</v>
      </c>
      <c r="K32" s="265" t="s">
        <v>91</v>
      </c>
      <c r="L32" s="265" t="s">
        <v>90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thickBot="1">
      <c r="A33" s="36" t="s">
        <v>1</v>
      </c>
      <c r="B33" s="10">
        <v>800</v>
      </c>
      <c r="C33" s="294"/>
      <c r="D33" s="294"/>
      <c r="E33" s="294"/>
      <c r="F33" s="330"/>
      <c r="G33" s="300"/>
      <c r="H33" s="292"/>
      <c r="I33" s="284"/>
      <c r="J33" s="266"/>
      <c r="K33" s="266"/>
      <c r="L33" s="266"/>
      <c r="M33" s="4"/>
      <c r="N33" s="8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>
      <c r="A34" s="323" t="s">
        <v>0</v>
      </c>
      <c r="B34" s="325">
        <f>'BIZ - Boxed Solutions'!G72</f>
        <v>0</v>
      </c>
      <c r="C34" s="77">
        <f>IF(AND(B34&lt;AA9,B34&gt;Z9),"A+++","")</f>
      </c>
      <c r="D34" s="77">
        <f>IF(AND($B$34&lt;$AA$10,$B$34&gt;$Z$10),"The BIZ is A++","")</f>
      </c>
      <c r="E34" s="77">
        <f>IF(AND($B$34&lt;$AA$11,$B$34&gt;$Z$11),"The BIZ is A+","")</f>
      </c>
      <c r="F34" s="79">
        <f>IF(AND($B$34&lt;$AA$12,$B$34&gt;$Z$12),"The BIZ is A","")</f>
      </c>
      <c r="G34" s="81">
        <f>IF(AND($B$34&lt;$AA$13,$B$34&gt;$Z$13),"The BIZ is B","")</f>
      </c>
      <c r="H34" s="83">
        <f>IF(AND($B$34&lt;$AA$14,$B$34&gt;$Z$14),"The BIZ is C","")</f>
      </c>
      <c r="I34" s="83">
        <f>IF(AND($B$34&lt;$AA$15,$B$34&gt;$Z$15),"The BIZ is D","")</f>
      </c>
      <c r="J34" s="75">
        <f>IF(AND($B$34&lt;$AA$16,$B$34&gt;$Z$16),"The BIZ is E","")</f>
      </c>
      <c r="K34" s="75">
        <f>IF(AND($B$34&lt;$AA$17,$B$34&gt;$Z$17),"The BIZ is F","")</f>
      </c>
      <c r="L34" s="75">
        <f>IF(AND($B$34&lt;$AA$18,$B$34&gt;$Z$18),"The BIZ is G","")</f>
      </c>
      <c r="M34" s="6"/>
      <c r="N34" s="87">
        <f>L34</f>
      </c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</row>
    <row r="35" spans="1:27" ht="15.75" customHeight="1" thickBot="1">
      <c r="A35" s="324"/>
      <c r="B35" s="326"/>
      <c r="C35" s="78"/>
      <c r="D35" s="78"/>
      <c r="E35" s="78"/>
      <c r="F35" s="80"/>
      <c r="G35" s="82"/>
      <c r="H35" s="84"/>
      <c r="I35" s="84"/>
      <c r="J35" s="76"/>
      <c r="K35" s="76"/>
      <c r="L35" s="76"/>
      <c r="M35" s="1"/>
      <c r="N35" s="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</sheetData>
  <sheetProtection/>
  <mergeCells count="46">
    <mergeCell ref="A34:A35"/>
    <mergeCell ref="B34:B35"/>
    <mergeCell ref="B10:B11"/>
    <mergeCell ref="B7:B8"/>
    <mergeCell ref="F32:F33"/>
    <mergeCell ref="I1:I2"/>
    <mergeCell ref="B13:B14"/>
    <mergeCell ref="D32:D33"/>
    <mergeCell ref="C32:C33"/>
    <mergeCell ref="A16:A17"/>
    <mergeCell ref="K4:K5"/>
    <mergeCell ref="F1:F2"/>
    <mergeCell ref="G1:G2"/>
    <mergeCell ref="A19:A20"/>
    <mergeCell ref="A10:A11"/>
    <mergeCell ref="H1:H2"/>
    <mergeCell ref="A4:A5"/>
    <mergeCell ref="B4:B5"/>
    <mergeCell ref="A25:A26"/>
    <mergeCell ref="D1:D2"/>
    <mergeCell ref="E1:E2"/>
    <mergeCell ref="G32:G33"/>
    <mergeCell ref="B19:B20"/>
    <mergeCell ref="A22:A23"/>
    <mergeCell ref="B16:B17"/>
    <mergeCell ref="A7:A8"/>
    <mergeCell ref="A13:A14"/>
    <mergeCell ref="C1:C2"/>
    <mergeCell ref="I32:I33"/>
    <mergeCell ref="J32:J33"/>
    <mergeCell ref="K25:K26"/>
    <mergeCell ref="B25:B26"/>
    <mergeCell ref="B22:B23"/>
    <mergeCell ref="K32:K33"/>
    <mergeCell ref="H32:H33"/>
    <mergeCell ref="E32:E33"/>
    <mergeCell ref="L32:L33"/>
    <mergeCell ref="Y5:Y7"/>
    <mergeCell ref="Y1:AA3"/>
    <mergeCell ref="K10:K11"/>
    <mergeCell ref="K13:K14"/>
    <mergeCell ref="K16:K17"/>
    <mergeCell ref="K19:K20"/>
    <mergeCell ref="K22:K23"/>
    <mergeCell ref="K7:K8"/>
    <mergeCell ref="K1:K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10.7109375" style="0" bestFit="1" customWidth="1"/>
    <col min="5" max="5" width="11.140625" style="0" bestFit="1" customWidth="1"/>
    <col min="15" max="15" width="11.140625" style="0" customWidth="1"/>
    <col min="17" max="17" width="11.8515625" style="0" customWidth="1"/>
  </cols>
  <sheetData>
    <row r="1" spans="1:5" ht="13.5" thickBot="1">
      <c r="A1" s="47" t="s">
        <v>105</v>
      </c>
      <c r="B1" s="46"/>
      <c r="E1" s="47" t="s">
        <v>98</v>
      </c>
    </row>
    <row r="2" spans="2:18" ht="13.5" thickBot="1">
      <c r="B2" s="38" t="s">
        <v>99</v>
      </c>
      <c r="C2" s="38" t="s">
        <v>100</v>
      </c>
      <c r="M2" s="7"/>
      <c r="N2" s="7"/>
      <c r="O2" s="7"/>
      <c r="P2" s="7"/>
      <c r="Q2" s="7"/>
      <c r="R2" s="7"/>
    </row>
    <row r="3" spans="1:18" ht="24.75" customHeight="1">
      <c r="A3" s="48" t="s">
        <v>95</v>
      </c>
      <c r="B3" s="57">
        <f>1+C4</f>
        <v>708</v>
      </c>
      <c r="C3" s="58">
        <f>B3+91</f>
        <v>799</v>
      </c>
      <c r="E3" s="337" t="s">
        <v>115</v>
      </c>
      <c r="F3" s="338"/>
      <c r="G3" s="338"/>
      <c r="H3" s="338"/>
      <c r="I3" s="338"/>
      <c r="J3" s="338"/>
      <c r="K3" s="339"/>
      <c r="M3" s="352"/>
      <c r="N3" s="353"/>
      <c r="O3" s="353"/>
      <c r="P3" s="353"/>
      <c r="Q3" s="353"/>
      <c r="R3" s="353"/>
    </row>
    <row r="4" spans="1:18" ht="27" customHeight="1">
      <c r="A4" s="49" t="s">
        <v>96</v>
      </c>
      <c r="B4" s="59">
        <f>C5+1</f>
        <v>616</v>
      </c>
      <c r="C4" s="60">
        <f>B4+91</f>
        <v>707</v>
      </c>
      <c r="E4" s="340"/>
      <c r="F4" s="341"/>
      <c r="G4" s="341"/>
      <c r="H4" s="341"/>
      <c r="I4" s="341"/>
      <c r="J4" s="341"/>
      <c r="K4" s="342"/>
      <c r="M4" s="354"/>
      <c r="N4" s="354"/>
      <c r="O4" s="354"/>
      <c r="P4" s="354"/>
      <c r="Q4" s="354"/>
      <c r="R4" s="354"/>
    </row>
    <row r="5" spans="1:18" ht="27" customHeight="1" thickBot="1">
      <c r="A5" s="49" t="s">
        <v>97</v>
      </c>
      <c r="B5" s="59">
        <v>524</v>
      </c>
      <c r="C5" s="60">
        <f>B5+91</f>
        <v>615</v>
      </c>
      <c r="E5" s="343"/>
      <c r="F5" s="344"/>
      <c r="G5" s="344"/>
      <c r="H5" s="344"/>
      <c r="I5" s="344"/>
      <c r="J5" s="344"/>
      <c r="K5" s="345"/>
      <c r="M5" s="355"/>
      <c r="N5" s="355"/>
      <c r="O5" s="355"/>
      <c r="P5" s="355"/>
      <c r="Q5" s="355"/>
      <c r="R5" s="355"/>
    </row>
    <row r="6" spans="1:18" ht="27.75" customHeight="1" thickBot="1">
      <c r="A6" s="50" t="s">
        <v>18</v>
      </c>
      <c r="B6" s="61">
        <v>400</v>
      </c>
      <c r="C6" s="62">
        <v>524</v>
      </c>
      <c r="E6" s="346" t="s">
        <v>104</v>
      </c>
      <c r="F6" s="347"/>
      <c r="G6" s="347"/>
      <c r="H6" s="347"/>
      <c r="I6" s="347"/>
      <c r="J6" s="347"/>
      <c r="K6" s="348"/>
      <c r="M6" s="46"/>
      <c r="N6" s="46"/>
      <c r="O6" s="46"/>
      <c r="P6" s="46"/>
      <c r="Q6" s="46"/>
      <c r="R6" s="46"/>
    </row>
    <row r="7" spans="1:18" ht="27" customHeight="1" thickBot="1">
      <c r="A7" s="51" t="s">
        <v>19</v>
      </c>
      <c r="B7" s="63">
        <v>300</v>
      </c>
      <c r="C7" s="64">
        <v>399</v>
      </c>
      <c r="E7" s="349" t="s">
        <v>103</v>
      </c>
      <c r="F7" s="350"/>
      <c r="G7" s="350"/>
      <c r="H7" s="350"/>
      <c r="I7" s="350"/>
      <c r="J7" s="350"/>
      <c r="K7" s="351"/>
      <c r="M7" s="7"/>
      <c r="N7" s="7"/>
      <c r="O7" s="7"/>
      <c r="P7" s="46"/>
      <c r="Q7" s="7"/>
      <c r="R7" s="7"/>
    </row>
    <row r="8" spans="1:11" ht="26.25" customHeight="1">
      <c r="A8" s="52" t="s">
        <v>20</v>
      </c>
      <c r="B8" s="65">
        <v>225</v>
      </c>
      <c r="C8" s="66">
        <v>299</v>
      </c>
      <c r="E8" s="337" t="s">
        <v>102</v>
      </c>
      <c r="F8" s="338"/>
      <c r="G8" s="338"/>
      <c r="H8" s="338"/>
      <c r="I8" s="338"/>
      <c r="J8" s="338"/>
      <c r="K8" s="339"/>
    </row>
    <row r="9" spans="1:11" ht="26.25" customHeight="1" thickBot="1">
      <c r="A9" s="53" t="s">
        <v>21</v>
      </c>
      <c r="B9" s="67">
        <v>150</v>
      </c>
      <c r="C9" s="68">
        <v>224</v>
      </c>
      <c r="D9" s="38"/>
      <c r="E9" s="343"/>
      <c r="F9" s="344"/>
      <c r="G9" s="344"/>
      <c r="H9" s="344"/>
      <c r="I9" s="344"/>
      <c r="J9" s="344"/>
      <c r="K9" s="345"/>
    </row>
    <row r="10" spans="1:11" ht="24" customHeight="1">
      <c r="A10" s="54" t="s">
        <v>89</v>
      </c>
      <c r="B10" s="69">
        <v>100</v>
      </c>
      <c r="C10" s="70">
        <v>149</v>
      </c>
      <c r="E10" s="337" t="s">
        <v>101</v>
      </c>
      <c r="F10" s="338"/>
      <c r="G10" s="338"/>
      <c r="H10" s="338"/>
      <c r="I10" s="338"/>
      <c r="J10" s="338"/>
      <c r="K10" s="339"/>
    </row>
    <row r="11" spans="1:11" ht="25.5" customHeight="1">
      <c r="A11" s="55" t="s">
        <v>91</v>
      </c>
      <c r="B11" s="71">
        <v>50</v>
      </c>
      <c r="C11" s="72">
        <v>99</v>
      </c>
      <c r="E11" s="340"/>
      <c r="F11" s="341"/>
      <c r="G11" s="341"/>
      <c r="H11" s="341"/>
      <c r="I11" s="341"/>
      <c r="J11" s="341"/>
      <c r="K11" s="342"/>
    </row>
    <row r="12" spans="1:11" ht="27.75" customHeight="1" thickBot="1">
      <c r="A12" s="56" t="s">
        <v>90</v>
      </c>
      <c r="B12" s="73">
        <v>0</v>
      </c>
      <c r="C12" s="74">
        <v>49</v>
      </c>
      <c r="E12" s="343"/>
      <c r="F12" s="344"/>
      <c r="G12" s="344"/>
      <c r="H12" s="344"/>
      <c r="I12" s="344"/>
      <c r="J12" s="344"/>
      <c r="K12" s="345"/>
    </row>
    <row r="13" spans="1:3" ht="12.75">
      <c r="A13" s="7"/>
      <c r="B13" s="7"/>
      <c r="C13" s="7"/>
    </row>
    <row r="15" ht="13.5" thickBot="1"/>
    <row r="16" ht="13.5" thickBot="1">
      <c r="A16" s="47" t="s">
        <v>208</v>
      </c>
    </row>
    <row r="17" spans="1:3" ht="13.5" thickBot="1">
      <c r="A17" s="215" t="s">
        <v>18</v>
      </c>
      <c r="B17" s="215">
        <v>87</v>
      </c>
      <c r="C17" s="222">
        <v>100</v>
      </c>
    </row>
    <row r="18" spans="1:3" ht="13.5" thickBot="1">
      <c r="A18" s="216" t="s">
        <v>19</v>
      </c>
      <c r="B18" s="216">
        <v>72</v>
      </c>
      <c r="C18" s="223">
        <v>86</v>
      </c>
    </row>
    <row r="19" spans="1:3" ht="12.75">
      <c r="A19" s="218" t="s">
        <v>20</v>
      </c>
      <c r="B19" s="218">
        <v>58</v>
      </c>
      <c r="C19" s="224">
        <v>71</v>
      </c>
    </row>
    <row r="20" spans="1:3" ht="13.5" thickBot="1">
      <c r="A20" s="217" t="s">
        <v>21</v>
      </c>
      <c r="B20" s="217">
        <v>44</v>
      </c>
      <c r="C20" s="225">
        <v>57</v>
      </c>
    </row>
    <row r="21" spans="1:3" ht="12.75">
      <c r="A21" s="221" t="s">
        <v>89</v>
      </c>
      <c r="B21" s="221">
        <v>30</v>
      </c>
      <c r="C21" s="226">
        <v>43</v>
      </c>
    </row>
    <row r="22" spans="1:3" ht="12.75">
      <c r="A22" s="219" t="s">
        <v>91</v>
      </c>
      <c r="B22" s="219">
        <v>15</v>
      </c>
      <c r="C22" s="227">
        <v>29</v>
      </c>
    </row>
    <row r="23" spans="1:3" ht="13.5" thickBot="1">
      <c r="A23" s="220" t="s">
        <v>90</v>
      </c>
      <c r="B23" s="220">
        <v>0</v>
      </c>
      <c r="C23" s="228">
        <v>14</v>
      </c>
    </row>
  </sheetData>
  <sheetProtection/>
  <mergeCells count="5">
    <mergeCell ref="E3:K5"/>
    <mergeCell ref="E6:K6"/>
    <mergeCell ref="E7:K7"/>
    <mergeCell ref="E8:K9"/>
    <mergeCell ref="E10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Ioanna</cp:lastModifiedBy>
  <cp:lastPrinted>2012-10-25T09:58:35Z</cp:lastPrinted>
  <dcterms:created xsi:type="dcterms:W3CDTF">1996-10-14T23:33:28Z</dcterms:created>
  <dcterms:modified xsi:type="dcterms:W3CDTF">2013-02-18T08:41:55Z</dcterms:modified>
  <cp:category/>
  <cp:version/>
  <cp:contentType/>
  <cp:contentStatus/>
</cp:coreProperties>
</file>